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harts/chart26.xml" ContentType="application/vnd.openxmlformats-officedocument.drawingml.chart+xml"/>
  <Override PartName="/xl/drawings/drawing3.xml" ContentType="application/vnd.openxmlformats-officedocument.drawingml.chartshapes+xml"/>
  <Override PartName="/xl/charts/chart27.xml" ContentType="application/vnd.openxmlformats-officedocument.drawingml.chart+xml"/>
  <Override PartName="/xl/drawings/drawing4.xml" ContentType="application/vnd.openxmlformats-officedocument.drawingml.chartshapes+xml"/>
  <Override PartName="/xl/charts/chart2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egawa\Documents\hasegawa\CESS\関東SPM会議\2016\"/>
    </mc:Choice>
  </mc:AlternateContent>
  <bookViews>
    <workbookView xWindow="3720" yWindow="0" windowWidth="18270" windowHeight="8660" tabRatio="777" activeTab="1"/>
  </bookViews>
  <sheets>
    <sheet name="コア期間 (2)" sheetId="35" r:id="rId1"/>
    <sheet name="コア期間" sheetId="33" r:id="rId2"/>
    <sheet name="全期間" sheetId="34" r:id="rId3"/>
    <sheet name="土浦" sheetId="31" r:id="rId4"/>
    <sheet name="真岡" sheetId="5" r:id="rId5"/>
    <sheet name="前橋" sheetId="10" r:id="rId6"/>
    <sheet name="館林" sheetId="12" r:id="rId7"/>
    <sheet name="鴻巣" sheetId="1" r:id="rId8"/>
    <sheet name="幸手" sheetId="3" r:id="rId9"/>
    <sheet name="さいたま" sheetId="4" r:id="rId10"/>
    <sheet name="市原" sheetId="22" r:id="rId11"/>
    <sheet name="勝浦" sheetId="25" r:id="rId12"/>
    <sheet name="富津" sheetId="24" r:id="rId13"/>
    <sheet name="千葉" sheetId="20" r:id="rId14"/>
    <sheet name="綾瀬" sheetId="6" r:id="rId15"/>
    <sheet name="多摩" sheetId="8" r:id="rId16"/>
    <sheet name="大和" sheetId="19" r:id="rId17"/>
    <sheet name="横浜" sheetId="27" r:id="rId18"/>
    <sheet name="川崎" sheetId="28" r:id="rId19"/>
    <sheet name="相模原" sheetId="26" r:id="rId20"/>
    <sheet name="甲府" sheetId="14" r:id="rId21"/>
    <sheet name="吉田" sheetId="13" r:id="rId22"/>
    <sheet name="長野" sheetId="29" r:id="rId23"/>
    <sheet name="富士" sheetId="17" r:id="rId24"/>
    <sheet name="湖西" sheetId="16" r:id="rId25"/>
    <sheet name="静岡" sheetId="21" r:id="rId26"/>
    <sheet name="浜松" sheetId="9" r:id="rId27"/>
    <sheet name="土浦FP" sheetId="32" r:id="rId28"/>
    <sheet name="前橋FP" sheetId="11" r:id="rId29"/>
    <sheet name="鴻巣FP" sheetId="2" r:id="rId30"/>
    <sheet name="市原FP" sheetId="23" r:id="rId31"/>
    <sheet name="綾瀬FP" sheetId="7" r:id="rId32"/>
    <sheet name="甲府FP" sheetId="15" r:id="rId33"/>
    <sheet name="長野FP" sheetId="30" r:id="rId34"/>
    <sheet name="富士FP" sheetId="18" r:id="rId35"/>
  </sheets>
  <definedNames>
    <definedName name="_xlnm.Print_Area" localSheetId="9">さいたま!$A$1:$BB$30</definedName>
    <definedName name="_xlnm.Print_Area" localSheetId="14">綾瀬!$A$1:$BB$30</definedName>
    <definedName name="_xlnm.Print_Area" localSheetId="31">綾瀬FP!$A$1:$BV$38</definedName>
    <definedName name="_xlnm.Print_Area" localSheetId="17">横浜!$A$1:$BB$30</definedName>
    <definedName name="_xlnm.Print_Area" localSheetId="6">館林!$A$1:$BB$30</definedName>
    <definedName name="_xlnm.Print_Area" localSheetId="21">吉田!$A$1:$BB$30</definedName>
    <definedName name="_xlnm.Print_Area" localSheetId="24">湖西!$A$1:$BB$30</definedName>
    <definedName name="_xlnm.Print_Area" localSheetId="8">幸手!$A$1:$BB$30</definedName>
    <definedName name="_xlnm.Print_Area" localSheetId="20">甲府!$A$1:$BB$30</definedName>
    <definedName name="_xlnm.Print_Area" localSheetId="32">甲府FP!$A$1:$BV$38</definedName>
    <definedName name="_xlnm.Print_Area" localSheetId="7">鴻巣!$A$1:$BB$30</definedName>
    <definedName name="_xlnm.Print_Area" localSheetId="29">鴻巣FP!$A$1:$BV$38</definedName>
    <definedName name="_xlnm.Print_Area" localSheetId="10">市原!$A$1:$BB$30</definedName>
    <definedName name="_xlnm.Print_Area" localSheetId="30">市原FP!$A$1:$BV$38</definedName>
    <definedName name="_xlnm.Print_Area" localSheetId="11">勝浦!$A$1:$BB$30</definedName>
    <definedName name="_xlnm.Print_Area" localSheetId="4">真岡!$A$1:$BC$30</definedName>
    <definedName name="_xlnm.Print_Area" localSheetId="25">静岡!$A$1:$BB$30</definedName>
    <definedName name="_xlnm.Print_Area" localSheetId="13">千葉!$A$1:$BB$30</definedName>
    <definedName name="_xlnm.Print_Area" localSheetId="18">川崎!$A$1:$BB$30</definedName>
    <definedName name="_xlnm.Print_Area" localSheetId="5">前橋!$A$1:$BB$30</definedName>
    <definedName name="_xlnm.Print_Area" localSheetId="28">前橋FP!$A$1:$BV$38</definedName>
    <definedName name="_xlnm.Print_Area" localSheetId="19">相模原!$A$1:$BB$30</definedName>
    <definedName name="_xlnm.Print_Area" localSheetId="15">多摩!$A$1:$BB$30</definedName>
    <definedName name="_xlnm.Print_Area" localSheetId="16">大和!$A$1:$BB$30</definedName>
    <definedName name="_xlnm.Print_Area" localSheetId="22">長野!$A$1:$BB$30</definedName>
    <definedName name="_xlnm.Print_Area" localSheetId="33">長野FP!$A$1:$BD$38</definedName>
    <definedName name="_xlnm.Print_Area" localSheetId="3">土浦!$A$1:$BB$30</definedName>
    <definedName name="_xlnm.Print_Area" localSheetId="27">土浦FP!$A$1:$BU$38</definedName>
    <definedName name="_xlnm.Print_Area" localSheetId="26">浜松!$A$1:$BB$30</definedName>
    <definedName name="_xlnm.Print_Area" localSheetId="23">富士!$A$1:$BB$30</definedName>
    <definedName name="_xlnm.Print_Area" localSheetId="34">富士FP!$A$1:$BE$38</definedName>
    <definedName name="_xlnm.Print_Area" localSheetId="12">富津!$A$1:$BB$30</definedName>
    <definedName name="_xlnm.Print_Titles" localSheetId="16">大和!$B:$C,大和!$4:$6</definedName>
  </definedNames>
  <calcPr calcId="162913"/>
</workbook>
</file>

<file path=xl/calcChain.xml><?xml version="1.0" encoding="utf-8"?>
<calcChain xmlns="http://schemas.openxmlformats.org/spreadsheetml/2006/main">
  <c r="CD23" i="33" l="1"/>
  <c r="CD3" i="33"/>
  <c r="CH20" i="5"/>
  <c r="CG20" i="5"/>
  <c r="CH19" i="5"/>
  <c r="CG19" i="5"/>
  <c r="CH18" i="5"/>
  <c r="CG18" i="5"/>
  <c r="CG17" i="5"/>
  <c r="CH16" i="5"/>
  <c r="CG16" i="5"/>
  <c r="CH15" i="5"/>
  <c r="CG15" i="5"/>
  <c r="CH14" i="5"/>
  <c r="CG14" i="5"/>
  <c r="CH13" i="5"/>
  <c r="CG13" i="5"/>
  <c r="CH12" i="5"/>
  <c r="CG12" i="5"/>
  <c r="CH11" i="5"/>
  <c r="CG11" i="5"/>
  <c r="CH10" i="5"/>
  <c r="CG10" i="5"/>
  <c r="CH9" i="5"/>
  <c r="CG9" i="5"/>
  <c r="CH8" i="5"/>
  <c r="CG8" i="5"/>
  <c r="CH7" i="5"/>
  <c r="CG7" i="5"/>
  <c r="CG20" i="12"/>
  <c r="CF20" i="12"/>
  <c r="CG19" i="12"/>
  <c r="CF19" i="12"/>
  <c r="CG18" i="12"/>
  <c r="CF18" i="12"/>
  <c r="CG17" i="12"/>
  <c r="CF17" i="12"/>
  <c r="CG16" i="12"/>
  <c r="CF16" i="12"/>
  <c r="CG15" i="12"/>
  <c r="CF15" i="12"/>
  <c r="CG14" i="12"/>
  <c r="CF14" i="12"/>
  <c r="CG13" i="12"/>
  <c r="CF13" i="12"/>
  <c r="CF21" i="12"/>
  <c r="CD5" i="33" s="1"/>
  <c r="CG12" i="12"/>
  <c r="CF12" i="12"/>
  <c r="CG11" i="12"/>
  <c r="CF11" i="12"/>
  <c r="CG10" i="12"/>
  <c r="CF10" i="12"/>
  <c r="CG9" i="12"/>
  <c r="CF9" i="12"/>
  <c r="CG8" i="12"/>
  <c r="CF8" i="12"/>
  <c r="CG7" i="12"/>
  <c r="CF7" i="12"/>
  <c r="CF22" i="12" s="1"/>
  <c r="CG20" i="1"/>
  <c r="CF20" i="1"/>
  <c r="CG19" i="1"/>
  <c r="CF19" i="1"/>
  <c r="CG18" i="1"/>
  <c r="CF18" i="1"/>
  <c r="CG17" i="1"/>
  <c r="CF17" i="1"/>
  <c r="CG16" i="1"/>
  <c r="CF16" i="1"/>
  <c r="CG15" i="1"/>
  <c r="CF15" i="1"/>
  <c r="CF22" i="1" s="1"/>
  <c r="CG14" i="1"/>
  <c r="CF14" i="1"/>
  <c r="CG13" i="1"/>
  <c r="CG21" i="1"/>
  <c r="CE6" i="33" s="1"/>
  <c r="CF13" i="1"/>
  <c r="CG12" i="1"/>
  <c r="CF12" i="1"/>
  <c r="CG11" i="1"/>
  <c r="CF11" i="1"/>
  <c r="CG10" i="1"/>
  <c r="CF10" i="1"/>
  <c r="CG9" i="1"/>
  <c r="CF9" i="1"/>
  <c r="CG8" i="1"/>
  <c r="CF8" i="1"/>
  <c r="CG7" i="1"/>
  <c r="CG22" i="1"/>
  <c r="CF7" i="1"/>
  <c r="CG20" i="3"/>
  <c r="CF20" i="3"/>
  <c r="CG19" i="3"/>
  <c r="CF19" i="3"/>
  <c r="CG18" i="3"/>
  <c r="CF18" i="3"/>
  <c r="CG17" i="3"/>
  <c r="CF17" i="3"/>
  <c r="CG16" i="3"/>
  <c r="CF16" i="3"/>
  <c r="CG15" i="3"/>
  <c r="CF15" i="3"/>
  <c r="CG14" i="3"/>
  <c r="CF14" i="3"/>
  <c r="CG13" i="3"/>
  <c r="CF13" i="3"/>
  <c r="CF21" i="3" s="1"/>
  <c r="CD7" i="33" s="1"/>
  <c r="CG12" i="3"/>
  <c r="CG21" i="3" s="1"/>
  <c r="CE7" i="33" s="1"/>
  <c r="CF12" i="3"/>
  <c r="CG11" i="3"/>
  <c r="CF11" i="3"/>
  <c r="CG10" i="3"/>
  <c r="CF10" i="3"/>
  <c r="CG9" i="3"/>
  <c r="CF9" i="3"/>
  <c r="CG8" i="3"/>
  <c r="CF8" i="3"/>
  <c r="CG7" i="3"/>
  <c r="CF7" i="3"/>
  <c r="CG20" i="4"/>
  <c r="CF20" i="4"/>
  <c r="CG19" i="4"/>
  <c r="CF19" i="4"/>
  <c r="CG18" i="4"/>
  <c r="CF18" i="4"/>
  <c r="CG17" i="4"/>
  <c r="CF17" i="4"/>
  <c r="CG16" i="4"/>
  <c r="CF16" i="4"/>
  <c r="CG15" i="4"/>
  <c r="CF15" i="4"/>
  <c r="CG14" i="4"/>
  <c r="CF14" i="4"/>
  <c r="CG13" i="4"/>
  <c r="CF13" i="4"/>
  <c r="CG12" i="4"/>
  <c r="CG21" i="4" s="1"/>
  <c r="CE8" i="33" s="1"/>
  <c r="CF12" i="4"/>
  <c r="CG11" i="4"/>
  <c r="CF11" i="4"/>
  <c r="CG10" i="4"/>
  <c r="CF10" i="4"/>
  <c r="CG9" i="4"/>
  <c r="CF9" i="4"/>
  <c r="CG8" i="4"/>
  <c r="CF8" i="4"/>
  <c r="CG7" i="4"/>
  <c r="CF7" i="4"/>
  <c r="CF22" i="4"/>
  <c r="CG20" i="22"/>
  <c r="CF20" i="22"/>
  <c r="CG19" i="22"/>
  <c r="CF19" i="22"/>
  <c r="CG18" i="22"/>
  <c r="CF18" i="22"/>
  <c r="CG17" i="22"/>
  <c r="CF17" i="22"/>
  <c r="CG16" i="22"/>
  <c r="CF16" i="22"/>
  <c r="CG15" i="22"/>
  <c r="CF15" i="22"/>
  <c r="CG14" i="22"/>
  <c r="CF14" i="22"/>
  <c r="CG13" i="22"/>
  <c r="CF13" i="22"/>
  <c r="CG12" i="22"/>
  <c r="CF12" i="22"/>
  <c r="CG11" i="22"/>
  <c r="CF11" i="22"/>
  <c r="CG10" i="22"/>
  <c r="CF10" i="22"/>
  <c r="CG9" i="22"/>
  <c r="CF9" i="22"/>
  <c r="CG8" i="22"/>
  <c r="CF8" i="22"/>
  <c r="CG7" i="22"/>
  <c r="CG22" i="22" s="1"/>
  <c r="CF7" i="22"/>
  <c r="CG20" i="25"/>
  <c r="CF20" i="25"/>
  <c r="CG19" i="25"/>
  <c r="CF19" i="25"/>
  <c r="CG18" i="25"/>
  <c r="CF18" i="25"/>
  <c r="CG17" i="25"/>
  <c r="CF17" i="25"/>
  <c r="CG16" i="25"/>
  <c r="CF16" i="25"/>
  <c r="CG15" i="25"/>
  <c r="CF15" i="25"/>
  <c r="CG14" i="25"/>
  <c r="CF14" i="25"/>
  <c r="CG13" i="25"/>
  <c r="CF13" i="25"/>
  <c r="CF21" i="25"/>
  <c r="CD10" i="33" s="1"/>
  <c r="CG12" i="25"/>
  <c r="CF12" i="25"/>
  <c r="CG11" i="25"/>
  <c r="CF11" i="25"/>
  <c r="CG10" i="25"/>
  <c r="CF10" i="25"/>
  <c r="CG9" i="25"/>
  <c r="CF9" i="25"/>
  <c r="CG8" i="25"/>
  <c r="CF8" i="25"/>
  <c r="CG7" i="25"/>
  <c r="CG22" i="25"/>
  <c r="CF7" i="25"/>
  <c r="CG20" i="24"/>
  <c r="CF20" i="24"/>
  <c r="CG19" i="24"/>
  <c r="CF19" i="24"/>
  <c r="CG18" i="24"/>
  <c r="CF18" i="24"/>
  <c r="CG17" i="24"/>
  <c r="CF17" i="24"/>
  <c r="CG16" i="24"/>
  <c r="CF16" i="24"/>
  <c r="CG15" i="24"/>
  <c r="CF15" i="24"/>
  <c r="CG14" i="24"/>
  <c r="CF14" i="24"/>
  <c r="CG13" i="24"/>
  <c r="CG21" i="24" s="1"/>
  <c r="CE11" i="33" s="1"/>
  <c r="CF13" i="24"/>
  <c r="CG12" i="24"/>
  <c r="CF12" i="24"/>
  <c r="CF21" i="24" s="1"/>
  <c r="CD11" i="33" s="1"/>
  <c r="CG11" i="24"/>
  <c r="CF11" i="24"/>
  <c r="CG10" i="24"/>
  <c r="CF10" i="24"/>
  <c r="CG9" i="24"/>
  <c r="CF9" i="24"/>
  <c r="CG8" i="24"/>
  <c r="CF8" i="24"/>
  <c r="CF22" i="24" s="1"/>
  <c r="CG7" i="24"/>
  <c r="CG22" i="24" s="1"/>
  <c r="CF7" i="24"/>
  <c r="CG20" i="20"/>
  <c r="CF20" i="20"/>
  <c r="CG19" i="20"/>
  <c r="CF19" i="20"/>
  <c r="CF18" i="20"/>
  <c r="CF17" i="20"/>
  <c r="CF16" i="20"/>
  <c r="CF15" i="20"/>
  <c r="CF14" i="20"/>
  <c r="CF13" i="20"/>
  <c r="CF12" i="20"/>
  <c r="CG11" i="20"/>
  <c r="CF11" i="20"/>
  <c r="CG10" i="20"/>
  <c r="CF10" i="20"/>
  <c r="CG9" i="20"/>
  <c r="CF9" i="20"/>
  <c r="CG8" i="20"/>
  <c r="CF8" i="20"/>
  <c r="CG7" i="20"/>
  <c r="CG22" i="20" s="1"/>
  <c r="CF7" i="20"/>
  <c r="CF22" i="20" s="1"/>
  <c r="CG20" i="6"/>
  <c r="CF20" i="6"/>
  <c r="CG19" i="6"/>
  <c r="CF19" i="6"/>
  <c r="CG18" i="6"/>
  <c r="CF18" i="6"/>
  <c r="CG17" i="6"/>
  <c r="CF17" i="6"/>
  <c r="CG16" i="6"/>
  <c r="CF16" i="6"/>
  <c r="CG15" i="6"/>
  <c r="CF15" i="6"/>
  <c r="CG14" i="6"/>
  <c r="CF14" i="6"/>
  <c r="CG13" i="6"/>
  <c r="CF13" i="6"/>
  <c r="CF21" i="6"/>
  <c r="CD13" i="33" s="1"/>
  <c r="CG12" i="6"/>
  <c r="CF12" i="6"/>
  <c r="CG11" i="6"/>
  <c r="CF11" i="6"/>
  <c r="CG10" i="6"/>
  <c r="CF10" i="6"/>
  <c r="CG9" i="6"/>
  <c r="CF9" i="6"/>
  <c r="CG8" i="6"/>
  <c r="CF8" i="6"/>
  <c r="CG7" i="6"/>
  <c r="CF7" i="6"/>
  <c r="CG20" i="8"/>
  <c r="CF20" i="8"/>
  <c r="CG19" i="8"/>
  <c r="CF19" i="8"/>
  <c r="CG18" i="8"/>
  <c r="CF18" i="8"/>
  <c r="CG17" i="8"/>
  <c r="CF17" i="8"/>
  <c r="CG16" i="8"/>
  <c r="CF16" i="8"/>
  <c r="CG15" i="8"/>
  <c r="CF15" i="8"/>
  <c r="CG14" i="8"/>
  <c r="CF14" i="8"/>
  <c r="CG13" i="8"/>
  <c r="CF13" i="8"/>
  <c r="CF12" i="8"/>
  <c r="CG11" i="8"/>
  <c r="CF11" i="8"/>
  <c r="CG10" i="8"/>
  <c r="CF10" i="8"/>
  <c r="CG9" i="8"/>
  <c r="CF9" i="8"/>
  <c r="CG8" i="8"/>
  <c r="CF8" i="8"/>
  <c r="CG7" i="8"/>
  <c r="CG22" i="8"/>
  <c r="CF7" i="8"/>
  <c r="CF22" i="8"/>
  <c r="CG20" i="19"/>
  <c r="CF20" i="19"/>
  <c r="CG19" i="19"/>
  <c r="CF19" i="19"/>
  <c r="CG18" i="19"/>
  <c r="CF18" i="19"/>
  <c r="CG17" i="19"/>
  <c r="CF17" i="19"/>
  <c r="CG16" i="19"/>
  <c r="CF16" i="19"/>
  <c r="CG15" i="19"/>
  <c r="CF15" i="19"/>
  <c r="CG14" i="19"/>
  <c r="CF14" i="19"/>
  <c r="CG13" i="19"/>
  <c r="CF13" i="19"/>
  <c r="CF21" i="19" s="1"/>
  <c r="CD15" i="33" s="1"/>
  <c r="CG12" i="19"/>
  <c r="CG21" i="19" s="1"/>
  <c r="CE15" i="33" s="1"/>
  <c r="CF12" i="19"/>
  <c r="CG11" i="19"/>
  <c r="CF11" i="19"/>
  <c r="CG10" i="19"/>
  <c r="CF10" i="19"/>
  <c r="CG9" i="19"/>
  <c r="CF9" i="19"/>
  <c r="CG8" i="19"/>
  <c r="CF8" i="19"/>
  <c r="CG7" i="19"/>
  <c r="CF7" i="19"/>
  <c r="CG20" i="27"/>
  <c r="CF20" i="27"/>
  <c r="CG19" i="27"/>
  <c r="CF19" i="27"/>
  <c r="CG18" i="27"/>
  <c r="CF18" i="27"/>
  <c r="CG17" i="27"/>
  <c r="CF17" i="27"/>
  <c r="CG16" i="27"/>
  <c r="CF16" i="27"/>
  <c r="CG15" i="27"/>
  <c r="CF15" i="27"/>
  <c r="CG14" i="27"/>
  <c r="CF14" i="27"/>
  <c r="CG13" i="27"/>
  <c r="CF13" i="27"/>
  <c r="CG12" i="27"/>
  <c r="CF12" i="27"/>
  <c r="CG11" i="27"/>
  <c r="CF11" i="27"/>
  <c r="CG10" i="27"/>
  <c r="CF10" i="27"/>
  <c r="CG9" i="27"/>
  <c r="CF9" i="27"/>
  <c r="CG8" i="27"/>
  <c r="CF8" i="27"/>
  <c r="CG7" i="27"/>
  <c r="CF7" i="27"/>
  <c r="CF22" i="27" s="1"/>
  <c r="CG20" i="28"/>
  <c r="CF20" i="28"/>
  <c r="CG19" i="28"/>
  <c r="CF19" i="28"/>
  <c r="CF18" i="28"/>
  <c r="CF17" i="28"/>
  <c r="CF16" i="28"/>
  <c r="CG15" i="28"/>
  <c r="CF15" i="28"/>
  <c r="CG14" i="28"/>
  <c r="CF14" i="28"/>
  <c r="CG13" i="28"/>
  <c r="CF13" i="28"/>
  <c r="CF21" i="28"/>
  <c r="CD17" i="33" s="1"/>
  <c r="CG12" i="28"/>
  <c r="CF12" i="28"/>
  <c r="CG11" i="28"/>
  <c r="CF11" i="28"/>
  <c r="CG10" i="28"/>
  <c r="CF10" i="28"/>
  <c r="CG9" i="28"/>
  <c r="CF9" i="28"/>
  <c r="CG8" i="28"/>
  <c r="CF8" i="28"/>
  <c r="CG7" i="28"/>
  <c r="CF7" i="28"/>
  <c r="CG20" i="26"/>
  <c r="CF20" i="26"/>
  <c r="CG19" i="26"/>
  <c r="CF19" i="26"/>
  <c r="CG18" i="26"/>
  <c r="CF18" i="26"/>
  <c r="CG17" i="26"/>
  <c r="CF17" i="26"/>
  <c r="CG16" i="26"/>
  <c r="CF16" i="26"/>
  <c r="CG15" i="26"/>
  <c r="CF15" i="26"/>
  <c r="CG14" i="26"/>
  <c r="CF14" i="26"/>
  <c r="CG13" i="26"/>
  <c r="CG21" i="26"/>
  <c r="CE18" i="33" s="1"/>
  <c r="CF13" i="26"/>
  <c r="CG12" i="26"/>
  <c r="CF12" i="26"/>
  <c r="CF21" i="26"/>
  <c r="CD18" i="33" s="1"/>
  <c r="CG11" i="26"/>
  <c r="CF11" i="26"/>
  <c r="CG10" i="26"/>
  <c r="CF10" i="26"/>
  <c r="CG9" i="26"/>
  <c r="CF9" i="26"/>
  <c r="CG8" i="26"/>
  <c r="CF8" i="26"/>
  <c r="CG7" i="26"/>
  <c r="CG22" i="26"/>
  <c r="CF7" i="26"/>
  <c r="CF22" i="26"/>
  <c r="CG20" i="14"/>
  <c r="CF20" i="14"/>
  <c r="CG19" i="14"/>
  <c r="CF19" i="14"/>
  <c r="CG18" i="14"/>
  <c r="CF18" i="14"/>
  <c r="CG17" i="14"/>
  <c r="CF17" i="14"/>
  <c r="CG16" i="14"/>
  <c r="CF16" i="14"/>
  <c r="CG15" i="14"/>
  <c r="CF15" i="14"/>
  <c r="CF14" i="14"/>
  <c r="CG13" i="14"/>
  <c r="CF13" i="14"/>
  <c r="CG12" i="14"/>
  <c r="CF12" i="14"/>
  <c r="CG11" i="14"/>
  <c r="CF11" i="14"/>
  <c r="CG10" i="14"/>
  <c r="CF10" i="14"/>
  <c r="CG9" i="14"/>
  <c r="CF9" i="14"/>
  <c r="CG8" i="14"/>
  <c r="CF8" i="14"/>
  <c r="CG7" i="14"/>
  <c r="CG22" i="14" s="1"/>
  <c r="CF7" i="14"/>
  <c r="CG20" i="13"/>
  <c r="CF20" i="13"/>
  <c r="CG19" i="13"/>
  <c r="CF19" i="13"/>
  <c r="CG18" i="13"/>
  <c r="CF18" i="13"/>
  <c r="CG17" i="13"/>
  <c r="CF17" i="13"/>
  <c r="CG16" i="13"/>
  <c r="CF16" i="13"/>
  <c r="CG15" i="13"/>
  <c r="CF15" i="13"/>
  <c r="CG14" i="13"/>
  <c r="CF14" i="13"/>
  <c r="CG13" i="13"/>
  <c r="CF13" i="13"/>
  <c r="CG12" i="13"/>
  <c r="CG21" i="13" s="1"/>
  <c r="CE20" i="33" s="1"/>
  <c r="CF12" i="13"/>
  <c r="CF21" i="13" s="1"/>
  <c r="CD20" i="33" s="1"/>
  <c r="CG11" i="13"/>
  <c r="CF11" i="13"/>
  <c r="CG10" i="13"/>
  <c r="CF10" i="13"/>
  <c r="CG9" i="13"/>
  <c r="CF9" i="13"/>
  <c r="CG8" i="13"/>
  <c r="CF8" i="13"/>
  <c r="CG7" i="13"/>
  <c r="CF7" i="13"/>
  <c r="CF22" i="13" s="1"/>
  <c r="CG20" i="29"/>
  <c r="CF20" i="29"/>
  <c r="CG19" i="29"/>
  <c r="CF19" i="29"/>
  <c r="CG18" i="29"/>
  <c r="CF18" i="29"/>
  <c r="CG17" i="29"/>
  <c r="CF17" i="29"/>
  <c r="CG16" i="29"/>
  <c r="CF16" i="29"/>
  <c r="CG15" i="29"/>
  <c r="CF15" i="29"/>
  <c r="CG14" i="29"/>
  <c r="CG21" i="29" s="1"/>
  <c r="CE21" i="33" s="1"/>
  <c r="CF14" i="29"/>
  <c r="CG13" i="29"/>
  <c r="CF13" i="29"/>
  <c r="CF21" i="29"/>
  <c r="CD21" i="33" s="1"/>
  <c r="CG12" i="29"/>
  <c r="CF12" i="29"/>
  <c r="CG11" i="29"/>
  <c r="CF11" i="29"/>
  <c r="CG10" i="29"/>
  <c r="CF10" i="29"/>
  <c r="CG9" i="29"/>
  <c r="CF9" i="29"/>
  <c r="CG8" i="29"/>
  <c r="CF8" i="29"/>
  <c r="CG7" i="29"/>
  <c r="CF7" i="29"/>
  <c r="CF22" i="29" s="1"/>
  <c r="CG20" i="17"/>
  <c r="CF20" i="17"/>
  <c r="CG19" i="17"/>
  <c r="CF19" i="17"/>
  <c r="CF18" i="17"/>
  <c r="CF17" i="17"/>
  <c r="CF16" i="17"/>
  <c r="CF15" i="17"/>
  <c r="CF14" i="17"/>
  <c r="CF13" i="17"/>
  <c r="CF12" i="17"/>
  <c r="CG11" i="17"/>
  <c r="CF11" i="17"/>
  <c r="CG10" i="17"/>
  <c r="CF10" i="17"/>
  <c r="CG9" i="17"/>
  <c r="CF9" i="17"/>
  <c r="CF22" i="17" s="1"/>
  <c r="CG8" i="17"/>
  <c r="CF8" i="17"/>
  <c r="CG7" i="17"/>
  <c r="CG22" i="17"/>
  <c r="CF7" i="17"/>
  <c r="CG20" i="16"/>
  <c r="CF20" i="16"/>
  <c r="CG19" i="16"/>
  <c r="CF19" i="16"/>
  <c r="CF18" i="16"/>
  <c r="CF17" i="16"/>
  <c r="CF16" i="16"/>
  <c r="CG15" i="16"/>
  <c r="CF15" i="16"/>
  <c r="CF14" i="16"/>
  <c r="CF13" i="16"/>
  <c r="CF21" i="16"/>
  <c r="CF12" i="16"/>
  <c r="CG11" i="16"/>
  <c r="CF11" i="16"/>
  <c r="CG10" i="16"/>
  <c r="CF10" i="16"/>
  <c r="CG9" i="16"/>
  <c r="CF9" i="16"/>
  <c r="CG8" i="16"/>
  <c r="CF8" i="16"/>
  <c r="CG7" i="16"/>
  <c r="CG22" i="16" s="1"/>
  <c r="CF7" i="16"/>
  <c r="CF22" i="16" s="1"/>
  <c r="CG20" i="21"/>
  <c r="CF20" i="21"/>
  <c r="CG19" i="21"/>
  <c r="CF19" i="21"/>
  <c r="CF18" i="21"/>
  <c r="CF17" i="21"/>
  <c r="CG16" i="21"/>
  <c r="CF16" i="21"/>
  <c r="CG15" i="21"/>
  <c r="CF15" i="21"/>
  <c r="CG14" i="21"/>
  <c r="CF14" i="21"/>
  <c r="CG13" i="21"/>
  <c r="CF13" i="21"/>
  <c r="CF21" i="21" s="1"/>
  <c r="CD24" i="33" s="1"/>
  <c r="CF12" i="21"/>
  <c r="CG11" i="21"/>
  <c r="CF11" i="21"/>
  <c r="CG10" i="21"/>
  <c r="CF10" i="21"/>
  <c r="CG9" i="21"/>
  <c r="CF9" i="21"/>
  <c r="CG8" i="21"/>
  <c r="CF8" i="21"/>
  <c r="CG7" i="21"/>
  <c r="CG22" i="21" s="1"/>
  <c r="CF7" i="21"/>
  <c r="CG20" i="9"/>
  <c r="CF20" i="9"/>
  <c r="CG19" i="9"/>
  <c r="CF19" i="9"/>
  <c r="CF18" i="9"/>
  <c r="CG17" i="9"/>
  <c r="CF17" i="9"/>
  <c r="CG16" i="9"/>
  <c r="CF16" i="9"/>
  <c r="CG15" i="9"/>
  <c r="CF15" i="9"/>
  <c r="CF14" i="9"/>
  <c r="CG13" i="9"/>
  <c r="CF13" i="9"/>
  <c r="CG12" i="9"/>
  <c r="CF12" i="9"/>
  <c r="CF21" i="9" s="1"/>
  <c r="CD25" i="33" s="1"/>
  <c r="CG11" i="9"/>
  <c r="CF11" i="9"/>
  <c r="CG10" i="9"/>
  <c r="CF10" i="9"/>
  <c r="CG9" i="9"/>
  <c r="CF9" i="9"/>
  <c r="CG8" i="9"/>
  <c r="CF8" i="9"/>
  <c r="CG7" i="9"/>
  <c r="CF7" i="9"/>
  <c r="CF22" i="9" s="1"/>
  <c r="CG20" i="10"/>
  <c r="CF20" i="10"/>
  <c r="CG19" i="10"/>
  <c r="CF19" i="10"/>
  <c r="CG18" i="10"/>
  <c r="CF18" i="10"/>
  <c r="CG17" i="10"/>
  <c r="CF17" i="10"/>
  <c r="CG16" i="10"/>
  <c r="CF16" i="10"/>
  <c r="CG15" i="10"/>
  <c r="CF15" i="10"/>
  <c r="CG14" i="10"/>
  <c r="CF14" i="10"/>
  <c r="CF21" i="10" s="1"/>
  <c r="CD4" i="33" s="1"/>
  <c r="CG13" i="10"/>
  <c r="CF13" i="10"/>
  <c r="CG12" i="10"/>
  <c r="CG21" i="10" s="1"/>
  <c r="CE4" i="33" s="1"/>
  <c r="CF12" i="10"/>
  <c r="CG11" i="10"/>
  <c r="CF11" i="10"/>
  <c r="CG10" i="10"/>
  <c r="CF10" i="10"/>
  <c r="CG9" i="10"/>
  <c r="CF9" i="10"/>
  <c r="CF22" i="10" s="1"/>
  <c r="CG8" i="10"/>
  <c r="CF8" i="10"/>
  <c r="CG7" i="10"/>
  <c r="CG22" i="10"/>
  <c r="CF7" i="10"/>
  <c r="CG20" i="31"/>
  <c r="CG19" i="31"/>
  <c r="CG11" i="31"/>
  <c r="CG10" i="31"/>
  <c r="CG9" i="31"/>
  <c r="CG8" i="31"/>
  <c r="CG7" i="31"/>
  <c r="CG22" i="31" s="1"/>
  <c r="CF22" i="6"/>
  <c r="CF22" i="28"/>
  <c r="CF20" i="31"/>
  <c r="CF19" i="31"/>
  <c r="CF18" i="31"/>
  <c r="CF17" i="31"/>
  <c r="CF16" i="31"/>
  <c r="CF15" i="31"/>
  <c r="CF14" i="31"/>
  <c r="CF13" i="31"/>
  <c r="CF11" i="31"/>
  <c r="CF10" i="31"/>
  <c r="CF9" i="31"/>
  <c r="CF8" i="31"/>
  <c r="CF22" i="31"/>
  <c r="CF7" i="31"/>
  <c r="CF12" i="31"/>
  <c r="CF20" i="5"/>
  <c r="CE20" i="5"/>
  <c r="CF19" i="5"/>
  <c r="CE19" i="5"/>
  <c r="CF18" i="5"/>
  <c r="CE18" i="5"/>
  <c r="CF17" i="5"/>
  <c r="CE17" i="5"/>
  <c r="CF16" i="5"/>
  <c r="CE16" i="5"/>
  <c r="CF15" i="5"/>
  <c r="CE15" i="5"/>
  <c r="CF14" i="5"/>
  <c r="CE14" i="5"/>
  <c r="CF13" i="5"/>
  <c r="CE13" i="5"/>
  <c r="CE21" i="5" s="1"/>
  <c r="CB3" i="33" s="1"/>
  <c r="CG21" i="5"/>
  <c r="CF12" i="5"/>
  <c r="CF21" i="5" s="1"/>
  <c r="CC3" i="33" s="1"/>
  <c r="CE12" i="5"/>
  <c r="CF11" i="5"/>
  <c r="CE11" i="5"/>
  <c r="CF10" i="5"/>
  <c r="CE10" i="5"/>
  <c r="CF9" i="5"/>
  <c r="CE9" i="5"/>
  <c r="CF8" i="5"/>
  <c r="CE8" i="5"/>
  <c r="CG22" i="5"/>
  <c r="CF7" i="5"/>
  <c r="CF22" i="5"/>
  <c r="CE7" i="5"/>
  <c r="CE22" i="5"/>
  <c r="CE20" i="12"/>
  <c r="CD20" i="12"/>
  <c r="CE19" i="12"/>
  <c r="CD19" i="12"/>
  <c r="CE18" i="12"/>
  <c r="CD18" i="12"/>
  <c r="CE17" i="12"/>
  <c r="CD17" i="12"/>
  <c r="CE16" i="12"/>
  <c r="CD16" i="12"/>
  <c r="CE15" i="12"/>
  <c r="CD15" i="12"/>
  <c r="CE14" i="12"/>
  <c r="CD14" i="12"/>
  <c r="CE13" i="12"/>
  <c r="CD13" i="12"/>
  <c r="CE12" i="12"/>
  <c r="CD12" i="12"/>
  <c r="CE11" i="12"/>
  <c r="CD11" i="12"/>
  <c r="CE10" i="12"/>
  <c r="CD10" i="12"/>
  <c r="CE9" i="12"/>
  <c r="CD9" i="12"/>
  <c r="CE8" i="12"/>
  <c r="CD8" i="12"/>
  <c r="CE7" i="12"/>
  <c r="CD7" i="12"/>
  <c r="CE20" i="1"/>
  <c r="CD20" i="1"/>
  <c r="CE19" i="1"/>
  <c r="CD19" i="1"/>
  <c r="CE18" i="1"/>
  <c r="CD18" i="1"/>
  <c r="CE17" i="1"/>
  <c r="CD17" i="1"/>
  <c r="CE16" i="1"/>
  <c r="CD16" i="1"/>
  <c r="CE15" i="1"/>
  <c r="CD15" i="1"/>
  <c r="CE14" i="1"/>
  <c r="CD14" i="1"/>
  <c r="CE13" i="1"/>
  <c r="CD13" i="1"/>
  <c r="CE12" i="1"/>
  <c r="CE21" i="1"/>
  <c r="CD12" i="1"/>
  <c r="CD21" i="1" s="1"/>
  <c r="CB6" i="33" s="1"/>
  <c r="CE11" i="1"/>
  <c r="CD11" i="1"/>
  <c r="CE10" i="1"/>
  <c r="CD10" i="1"/>
  <c r="CE9" i="1"/>
  <c r="CD9" i="1"/>
  <c r="CE8" i="1"/>
  <c r="CD8" i="1"/>
  <c r="CE7" i="1"/>
  <c r="CE22" i="1"/>
  <c r="CD7" i="1"/>
  <c r="CE20" i="3"/>
  <c r="CD20" i="3"/>
  <c r="CE19" i="3"/>
  <c r="CD19" i="3"/>
  <c r="CE18" i="3"/>
  <c r="CD18" i="3"/>
  <c r="CE17" i="3"/>
  <c r="CD17" i="3"/>
  <c r="CE16" i="3"/>
  <c r="CD16" i="3"/>
  <c r="CE15" i="3"/>
  <c r="CD15" i="3"/>
  <c r="CE14" i="3"/>
  <c r="CD14" i="3"/>
  <c r="CE13" i="3"/>
  <c r="CD13" i="3"/>
  <c r="CE12" i="3"/>
  <c r="CE21" i="3" s="1"/>
  <c r="CD12" i="3"/>
  <c r="CE11" i="3"/>
  <c r="CD11" i="3"/>
  <c r="CE10" i="3"/>
  <c r="CD10" i="3"/>
  <c r="CE9" i="3"/>
  <c r="CD9" i="3"/>
  <c r="CD22" i="3" s="1"/>
  <c r="CE8" i="3"/>
  <c r="CD8" i="3"/>
  <c r="CE7" i="3"/>
  <c r="CE22" i="3"/>
  <c r="CD7" i="3"/>
  <c r="CE20" i="4"/>
  <c r="CD20" i="4"/>
  <c r="CE19" i="4"/>
  <c r="CD19" i="4"/>
  <c r="CE18" i="4"/>
  <c r="CD18" i="4"/>
  <c r="CE17" i="4"/>
  <c r="CD17" i="4"/>
  <c r="CE16" i="4"/>
  <c r="CD16" i="4"/>
  <c r="CE15" i="4"/>
  <c r="CD15" i="4"/>
  <c r="CE14" i="4"/>
  <c r="CD14" i="4"/>
  <c r="CD21" i="4" s="1"/>
  <c r="CB8" i="33" s="1"/>
  <c r="CE13" i="4"/>
  <c r="CD13" i="4"/>
  <c r="CE12" i="4"/>
  <c r="CE21" i="4"/>
  <c r="CD12" i="4"/>
  <c r="CE11" i="4"/>
  <c r="CD11" i="4"/>
  <c r="CE10" i="4"/>
  <c r="CD10" i="4"/>
  <c r="CE9" i="4"/>
  <c r="CD9" i="4"/>
  <c r="CE8" i="4"/>
  <c r="CD8" i="4"/>
  <c r="CE7" i="4"/>
  <c r="CD7" i="4"/>
  <c r="CE20" i="22"/>
  <c r="CD20" i="22"/>
  <c r="CE19" i="22"/>
  <c r="CD19" i="22"/>
  <c r="CE18" i="22"/>
  <c r="CD18" i="22"/>
  <c r="CE17" i="22"/>
  <c r="CD17" i="22"/>
  <c r="CE16" i="22"/>
  <c r="CD16" i="22"/>
  <c r="CE15" i="22"/>
  <c r="CD15" i="22"/>
  <c r="CE14" i="22"/>
  <c r="CE21" i="22" s="1"/>
  <c r="CC9" i="33" s="1"/>
  <c r="CD14" i="22"/>
  <c r="CE13" i="22"/>
  <c r="CD13" i="22"/>
  <c r="CG21" i="22"/>
  <c r="CE9" i="33" s="1"/>
  <c r="CE12" i="22"/>
  <c r="CD12" i="22"/>
  <c r="CD21" i="22"/>
  <c r="CB9" i="33" s="1"/>
  <c r="CE11" i="22"/>
  <c r="CD11" i="22"/>
  <c r="CE10" i="22"/>
  <c r="CD10" i="22"/>
  <c r="CE9" i="22"/>
  <c r="CD9" i="22"/>
  <c r="CE8" i="22"/>
  <c r="CD8" i="22"/>
  <c r="CE7" i="22"/>
  <c r="CE22" i="22" s="1"/>
  <c r="CD7" i="22"/>
  <c r="CE20" i="25"/>
  <c r="CD20" i="25"/>
  <c r="CE19" i="25"/>
  <c r="CD19" i="25"/>
  <c r="CE18" i="25"/>
  <c r="CD18" i="25"/>
  <c r="CE17" i="25"/>
  <c r="CD17" i="25"/>
  <c r="CE16" i="25"/>
  <c r="CD16" i="25"/>
  <c r="CE15" i="25"/>
  <c r="CD15" i="25"/>
  <c r="CE14" i="25"/>
  <c r="CD14" i="25"/>
  <c r="CE13" i="25"/>
  <c r="CD13" i="25"/>
  <c r="CE12" i="25"/>
  <c r="CD12" i="25"/>
  <c r="CE11" i="25"/>
  <c r="CD11" i="25"/>
  <c r="CE10" i="25"/>
  <c r="CD10" i="25"/>
  <c r="CE9" i="25"/>
  <c r="CD9" i="25"/>
  <c r="CE8" i="25"/>
  <c r="CD8" i="25"/>
  <c r="CE7" i="25"/>
  <c r="CE22" i="25" s="1"/>
  <c r="CD7" i="25"/>
  <c r="CE20" i="24"/>
  <c r="CD20" i="24"/>
  <c r="CE19" i="24"/>
  <c r="CD19" i="24"/>
  <c r="CE18" i="24"/>
  <c r="CD18" i="24"/>
  <c r="CE17" i="24"/>
  <c r="CD17" i="24"/>
  <c r="CE16" i="24"/>
  <c r="CD16" i="24"/>
  <c r="CE15" i="24"/>
  <c r="CD15" i="24"/>
  <c r="CE14" i="24"/>
  <c r="CE21" i="24" s="1"/>
  <c r="CC11" i="33" s="1"/>
  <c r="CD14" i="24"/>
  <c r="CE13" i="24"/>
  <c r="CD13" i="24"/>
  <c r="CD21" i="24" s="1"/>
  <c r="CB11" i="33" s="1"/>
  <c r="CE12" i="24"/>
  <c r="CD12" i="24"/>
  <c r="CE11" i="24"/>
  <c r="CD11" i="24"/>
  <c r="CE10" i="24"/>
  <c r="CD10" i="24"/>
  <c r="CE9" i="24"/>
  <c r="CD9" i="24"/>
  <c r="CE8" i="24"/>
  <c r="CD8" i="24"/>
  <c r="CE7" i="24"/>
  <c r="CE22" i="24" s="1"/>
  <c r="CD7" i="24"/>
  <c r="CE20" i="20"/>
  <c r="CD20" i="20"/>
  <c r="CE19" i="20"/>
  <c r="CD19" i="20"/>
  <c r="CE18" i="20"/>
  <c r="CD18" i="20"/>
  <c r="CE17" i="20"/>
  <c r="CD17" i="20"/>
  <c r="CE16" i="20"/>
  <c r="CD16" i="20"/>
  <c r="CE15" i="20"/>
  <c r="CD15" i="20"/>
  <c r="CE14" i="20"/>
  <c r="CD14" i="20"/>
  <c r="CE13" i="20"/>
  <c r="CD13" i="20"/>
  <c r="CE12" i="20"/>
  <c r="CE21" i="20"/>
  <c r="CC12" i="33" s="1"/>
  <c r="CD12" i="20"/>
  <c r="CE11" i="20"/>
  <c r="CD11" i="20"/>
  <c r="CE10" i="20"/>
  <c r="CD10" i="20"/>
  <c r="CE9" i="20"/>
  <c r="CD9" i="20"/>
  <c r="CE8" i="20"/>
  <c r="CE22" i="20" s="1"/>
  <c r="CD8" i="20"/>
  <c r="CE7" i="20"/>
  <c r="CD7" i="20"/>
  <c r="CD22" i="20" s="1"/>
  <c r="CE20" i="6"/>
  <c r="CD20" i="6"/>
  <c r="CE19" i="6"/>
  <c r="CD19" i="6"/>
  <c r="CE18" i="6"/>
  <c r="CD18" i="6"/>
  <c r="CE17" i="6"/>
  <c r="CD17" i="6"/>
  <c r="CE16" i="6"/>
  <c r="CD16" i="6"/>
  <c r="CE15" i="6"/>
  <c r="CD15" i="6"/>
  <c r="CE14" i="6"/>
  <c r="CD14" i="6"/>
  <c r="CD21" i="6" s="1"/>
  <c r="CB13" i="33" s="1"/>
  <c r="CE13" i="6"/>
  <c r="CD13" i="6"/>
  <c r="CE12" i="6"/>
  <c r="CE21" i="6" s="1"/>
  <c r="CD12" i="6"/>
  <c r="CE11" i="6"/>
  <c r="CD11" i="6"/>
  <c r="CE10" i="6"/>
  <c r="CD10" i="6"/>
  <c r="CE9" i="6"/>
  <c r="CD9" i="6"/>
  <c r="CE8" i="6"/>
  <c r="CD8" i="6"/>
  <c r="CG22" i="6"/>
  <c r="CE7" i="6"/>
  <c r="CE22" i="6" s="1"/>
  <c r="CD7" i="6"/>
  <c r="CD22" i="6" s="1"/>
  <c r="CE20" i="8"/>
  <c r="CD20" i="8"/>
  <c r="CE19" i="8"/>
  <c r="CD19" i="8"/>
  <c r="CE18" i="8"/>
  <c r="CD18" i="8"/>
  <c r="CE17" i="8"/>
  <c r="CD17" i="8"/>
  <c r="CE16" i="8"/>
  <c r="CD16" i="8"/>
  <c r="CE15" i="8"/>
  <c r="CD15" i="8"/>
  <c r="CE14" i="8"/>
  <c r="CD14" i="8"/>
  <c r="CE13" i="8"/>
  <c r="CD13" i="8"/>
  <c r="CE12" i="8"/>
  <c r="CE21" i="8" s="1"/>
  <c r="CD12" i="8"/>
  <c r="CD21" i="8" s="1"/>
  <c r="CB14" i="33" s="1"/>
  <c r="CE11" i="8"/>
  <c r="CD11" i="8"/>
  <c r="CE10" i="8"/>
  <c r="CD10" i="8"/>
  <c r="CE9" i="8"/>
  <c r="CD9" i="8"/>
  <c r="CE8" i="8"/>
  <c r="CD8" i="8"/>
  <c r="CE7" i="8"/>
  <c r="CE22" i="8" s="1"/>
  <c r="CD7" i="8"/>
  <c r="CD22" i="8" s="1"/>
  <c r="CE20" i="19"/>
  <c r="CD20" i="19"/>
  <c r="CE19" i="19"/>
  <c r="CD19" i="19"/>
  <c r="CE18" i="19"/>
  <c r="CD18" i="19"/>
  <c r="CE17" i="19"/>
  <c r="CD17" i="19"/>
  <c r="CE16" i="19"/>
  <c r="CD16" i="19"/>
  <c r="CE15" i="19"/>
  <c r="CD15" i="19"/>
  <c r="CE14" i="19"/>
  <c r="CD14" i="19"/>
  <c r="CE13" i="19"/>
  <c r="CE21" i="19" s="1"/>
  <c r="CC15" i="33" s="1"/>
  <c r="CD13" i="19"/>
  <c r="CE12" i="19"/>
  <c r="CD12" i="19"/>
  <c r="CD21" i="19" s="1"/>
  <c r="CB15" i="33" s="1"/>
  <c r="CE11" i="19"/>
  <c r="CD11" i="19"/>
  <c r="CE10" i="19"/>
  <c r="CD10" i="19"/>
  <c r="CE9" i="19"/>
  <c r="CD9" i="19"/>
  <c r="CE8" i="19"/>
  <c r="CE22" i="19" s="1"/>
  <c r="CD8" i="19"/>
  <c r="CE7" i="19"/>
  <c r="CD7" i="19"/>
  <c r="CE20" i="27"/>
  <c r="CD20" i="27"/>
  <c r="CE19" i="27"/>
  <c r="CD19" i="27"/>
  <c r="CE18" i="27"/>
  <c r="CD18" i="27"/>
  <c r="CE17" i="27"/>
  <c r="CD17" i="27"/>
  <c r="CE16" i="27"/>
  <c r="CD16" i="27"/>
  <c r="CE15" i="27"/>
  <c r="CD15" i="27"/>
  <c r="CE14" i="27"/>
  <c r="CD14" i="27"/>
  <c r="CE13" i="27"/>
  <c r="CD13" i="27"/>
  <c r="CE12" i="27"/>
  <c r="CE21" i="27" s="1"/>
  <c r="CD12" i="27"/>
  <c r="CD21" i="27" s="1"/>
  <c r="CB16" i="33" s="1"/>
  <c r="CE11" i="27"/>
  <c r="CD11" i="27"/>
  <c r="CE10" i="27"/>
  <c r="CD10" i="27"/>
  <c r="CE9" i="27"/>
  <c r="CD9" i="27"/>
  <c r="CE8" i="27"/>
  <c r="CD8" i="27"/>
  <c r="CE7" i="27"/>
  <c r="CE22" i="27" s="1"/>
  <c r="CD7" i="27"/>
  <c r="CE20" i="28"/>
  <c r="CD20" i="28"/>
  <c r="CE19" i="28"/>
  <c r="CD19" i="28"/>
  <c r="CE18" i="28"/>
  <c r="CD18" i="28"/>
  <c r="CE17" i="28"/>
  <c r="CD17" i="28"/>
  <c r="CE16" i="28"/>
  <c r="CD16" i="28"/>
  <c r="CE15" i="28"/>
  <c r="CD15" i="28"/>
  <c r="CE14" i="28"/>
  <c r="CD14" i="28"/>
  <c r="CD21" i="28" s="1"/>
  <c r="CB17" i="33" s="1"/>
  <c r="CE13" i="28"/>
  <c r="CD13" i="28"/>
  <c r="CE12" i="28"/>
  <c r="CE21" i="28" s="1"/>
  <c r="CC17" i="33" s="1"/>
  <c r="CD12" i="28"/>
  <c r="CE11" i="28"/>
  <c r="CD11" i="28"/>
  <c r="CE10" i="28"/>
  <c r="CD10" i="28"/>
  <c r="CE9" i="28"/>
  <c r="CD9" i="28"/>
  <c r="CD22" i="28" s="1"/>
  <c r="CE8" i="28"/>
  <c r="CD8" i="28"/>
  <c r="CG22" i="28"/>
  <c r="CE7" i="28"/>
  <c r="CE22" i="28" s="1"/>
  <c r="CD7" i="28"/>
  <c r="CE20" i="26"/>
  <c r="CD20" i="26"/>
  <c r="CE19" i="26"/>
  <c r="CD19" i="26"/>
  <c r="CE18" i="26"/>
  <c r="CD18" i="26"/>
  <c r="CE17" i="26"/>
  <c r="CD17" i="26"/>
  <c r="CE16" i="26"/>
  <c r="CD16" i="26"/>
  <c r="CE15" i="26"/>
  <c r="CD15" i="26"/>
  <c r="CE14" i="26"/>
  <c r="CD14" i="26"/>
  <c r="CE13" i="26"/>
  <c r="CD13" i="26"/>
  <c r="CE12" i="26"/>
  <c r="CE21" i="26" s="1"/>
  <c r="CD12" i="26"/>
  <c r="CE11" i="26"/>
  <c r="CD11" i="26"/>
  <c r="CE10" i="26"/>
  <c r="CD10" i="26"/>
  <c r="CE9" i="26"/>
  <c r="CD9" i="26"/>
  <c r="CE8" i="26"/>
  <c r="CD8" i="26"/>
  <c r="CE7" i="26"/>
  <c r="CD7" i="26"/>
  <c r="CE20" i="14"/>
  <c r="CD20" i="14"/>
  <c r="CE19" i="14"/>
  <c r="CD19" i="14"/>
  <c r="CE18" i="14"/>
  <c r="CD18" i="14"/>
  <c r="CE17" i="14"/>
  <c r="CD17" i="14"/>
  <c r="CE16" i="14"/>
  <c r="CD16" i="14"/>
  <c r="CE15" i="14"/>
  <c r="CD15" i="14"/>
  <c r="CE14" i="14"/>
  <c r="CD14" i="14"/>
  <c r="CE13" i="14"/>
  <c r="CD13" i="14"/>
  <c r="CE12" i="14"/>
  <c r="CE21" i="14"/>
  <c r="CC19" i="33" s="1"/>
  <c r="CD12" i="14"/>
  <c r="CE11" i="14"/>
  <c r="CD11" i="14"/>
  <c r="CE10" i="14"/>
  <c r="CD10" i="14"/>
  <c r="CE9" i="14"/>
  <c r="CD9" i="14"/>
  <c r="CE8" i="14"/>
  <c r="CD8" i="14"/>
  <c r="CE7" i="14"/>
  <c r="CE22" i="14"/>
  <c r="CD7" i="14"/>
  <c r="CE20" i="13"/>
  <c r="CD20" i="13"/>
  <c r="CE19" i="13"/>
  <c r="CD19" i="13"/>
  <c r="CE18" i="13"/>
  <c r="CD18" i="13"/>
  <c r="CE17" i="13"/>
  <c r="CD17" i="13"/>
  <c r="CE16" i="13"/>
  <c r="CD16" i="13"/>
  <c r="CE15" i="13"/>
  <c r="CD15" i="13"/>
  <c r="CE14" i="13"/>
  <c r="CD14" i="13"/>
  <c r="CE13" i="13"/>
  <c r="CE21" i="13" s="1"/>
  <c r="CC20" i="33" s="1"/>
  <c r="CD13" i="13"/>
  <c r="CE12" i="13"/>
  <c r="CD12" i="13"/>
  <c r="CD21" i="13" s="1"/>
  <c r="CB20" i="33" s="1"/>
  <c r="CE11" i="13"/>
  <c r="CD11" i="13"/>
  <c r="CE10" i="13"/>
  <c r="CD10" i="13"/>
  <c r="CE9" i="13"/>
  <c r="CD9" i="13"/>
  <c r="CE8" i="13"/>
  <c r="CD8" i="13"/>
  <c r="CE7" i="13"/>
  <c r="CD7" i="13"/>
  <c r="CE20" i="29"/>
  <c r="CD20" i="29"/>
  <c r="CE19" i="29"/>
  <c r="CD19" i="29"/>
  <c r="CE18" i="29"/>
  <c r="CD18" i="29"/>
  <c r="CE17" i="29"/>
  <c r="CD17" i="29"/>
  <c r="CE16" i="29"/>
  <c r="CD16" i="29"/>
  <c r="CE15" i="29"/>
  <c r="CD15" i="29"/>
  <c r="CE14" i="29"/>
  <c r="CD14" i="29"/>
  <c r="CD21" i="29" s="1"/>
  <c r="CB21" i="33" s="1"/>
  <c r="CE13" i="29"/>
  <c r="CD13" i="29"/>
  <c r="CE12" i="29"/>
  <c r="CE21" i="29" s="1"/>
  <c r="CD12" i="29"/>
  <c r="CE11" i="29"/>
  <c r="CD11" i="29"/>
  <c r="CE10" i="29"/>
  <c r="CD10" i="29"/>
  <c r="CE9" i="29"/>
  <c r="CD9" i="29"/>
  <c r="CE8" i="29"/>
  <c r="CD8" i="29"/>
  <c r="CG22" i="29"/>
  <c r="CE7" i="29"/>
  <c r="CE22" i="29" s="1"/>
  <c r="CD7" i="29"/>
  <c r="CD22" i="29" s="1"/>
  <c r="CE20" i="17"/>
  <c r="CD20" i="17"/>
  <c r="CE19" i="17"/>
  <c r="CD19" i="17"/>
  <c r="CE18" i="17"/>
  <c r="CD18" i="17"/>
  <c r="CE17" i="17"/>
  <c r="CD17" i="17"/>
  <c r="CE16" i="17"/>
  <c r="CD16" i="17"/>
  <c r="CE15" i="17"/>
  <c r="CD15" i="17"/>
  <c r="CE14" i="17"/>
  <c r="CD14" i="17"/>
  <c r="CE13" i="17"/>
  <c r="CD13" i="17"/>
  <c r="CE12" i="17"/>
  <c r="CE21" i="17" s="1"/>
  <c r="CD12" i="17"/>
  <c r="CD21" i="17"/>
  <c r="CB22" i="33" s="1"/>
  <c r="CE11" i="17"/>
  <c r="CD11" i="17"/>
  <c r="CE10" i="17"/>
  <c r="CD10" i="17"/>
  <c r="CE9" i="17"/>
  <c r="CD9" i="17"/>
  <c r="CE8" i="17"/>
  <c r="CD8" i="17"/>
  <c r="CE7" i="17"/>
  <c r="CD7" i="17"/>
  <c r="CD22" i="17" s="1"/>
  <c r="CE20" i="16"/>
  <c r="CD20" i="16"/>
  <c r="CE19" i="16"/>
  <c r="CD19" i="16"/>
  <c r="CE18" i="16"/>
  <c r="CD18" i="16"/>
  <c r="CE17" i="16"/>
  <c r="CD17" i="16"/>
  <c r="CE16" i="16"/>
  <c r="CD16" i="16"/>
  <c r="CE15" i="16"/>
  <c r="CD15" i="16"/>
  <c r="CE14" i="16"/>
  <c r="CE21" i="16" s="1"/>
  <c r="CD14" i="16"/>
  <c r="CE13" i="16"/>
  <c r="CD13" i="16"/>
  <c r="CE12" i="16"/>
  <c r="CD12" i="16"/>
  <c r="CD21" i="16"/>
  <c r="CB23" i="33" s="1"/>
  <c r="CE11" i="16"/>
  <c r="CD11" i="16"/>
  <c r="CE10" i="16"/>
  <c r="CD10" i="16"/>
  <c r="CE9" i="16"/>
  <c r="CD9" i="16"/>
  <c r="CE8" i="16"/>
  <c r="CD8" i="16"/>
  <c r="CE7" i="16"/>
  <c r="CE22" i="16" s="1"/>
  <c r="CD7" i="16"/>
  <c r="CE20" i="21"/>
  <c r="CD20" i="21"/>
  <c r="CE19" i="21"/>
  <c r="CD19" i="21"/>
  <c r="CE18" i="21"/>
  <c r="CD18" i="21"/>
  <c r="CE17" i="21"/>
  <c r="CD17" i="21"/>
  <c r="CE16" i="21"/>
  <c r="CD16" i="21"/>
  <c r="CE15" i="21"/>
  <c r="CD15" i="21"/>
  <c r="CE14" i="21"/>
  <c r="CD14" i="21"/>
  <c r="CE13" i="21"/>
  <c r="CD13" i="21"/>
  <c r="CE12" i="21"/>
  <c r="CD12" i="21"/>
  <c r="CE11" i="21"/>
  <c r="CD11" i="21"/>
  <c r="CE10" i="21"/>
  <c r="CD10" i="21"/>
  <c r="CE9" i="21"/>
  <c r="CD9" i="21"/>
  <c r="CE8" i="21"/>
  <c r="CD8" i="21"/>
  <c r="CE7" i="21"/>
  <c r="CD7" i="21"/>
  <c r="CE20" i="9"/>
  <c r="CD20" i="9"/>
  <c r="CE19" i="9"/>
  <c r="CD19" i="9"/>
  <c r="CE18" i="9"/>
  <c r="CD18" i="9"/>
  <c r="CE17" i="9"/>
  <c r="CD17" i="9"/>
  <c r="CE16" i="9"/>
  <c r="CD16" i="9"/>
  <c r="CE15" i="9"/>
  <c r="CD15" i="9"/>
  <c r="CE14" i="9"/>
  <c r="CD14" i="9"/>
  <c r="CE13" i="9"/>
  <c r="CD13" i="9"/>
  <c r="CE12" i="9"/>
  <c r="CE21" i="9"/>
  <c r="CD12" i="9"/>
  <c r="CD21" i="9"/>
  <c r="CB25" i="33" s="1"/>
  <c r="CE11" i="9"/>
  <c r="CD11" i="9"/>
  <c r="CE10" i="9"/>
  <c r="CD10" i="9"/>
  <c r="CE9" i="9"/>
  <c r="CD9" i="9"/>
  <c r="CE8" i="9"/>
  <c r="CD8" i="9"/>
  <c r="CG22" i="9"/>
  <c r="CE7" i="9"/>
  <c r="CE22" i="9" s="1"/>
  <c r="CD7" i="9"/>
  <c r="CD22" i="9" s="1"/>
  <c r="CE20" i="10"/>
  <c r="CD20" i="10"/>
  <c r="CE19" i="10"/>
  <c r="CD19" i="10"/>
  <c r="CE18" i="10"/>
  <c r="CD18" i="10"/>
  <c r="CE17" i="10"/>
  <c r="CD17" i="10"/>
  <c r="CE16" i="10"/>
  <c r="CD16" i="10"/>
  <c r="CE15" i="10"/>
  <c r="CD15" i="10"/>
  <c r="CE14" i="10"/>
  <c r="CD14" i="10"/>
  <c r="CE13" i="10"/>
  <c r="CD13" i="10"/>
  <c r="CE12" i="10"/>
  <c r="CD12" i="10"/>
  <c r="CD21" i="10" s="1"/>
  <c r="CB4" i="33" s="1"/>
  <c r="CE11" i="10"/>
  <c r="CD11" i="10"/>
  <c r="CE10" i="10"/>
  <c r="CD10" i="10"/>
  <c r="CE9" i="10"/>
  <c r="CD9" i="10"/>
  <c r="CE8" i="10"/>
  <c r="CD8" i="10"/>
  <c r="CE7" i="10"/>
  <c r="CD7" i="10"/>
  <c r="CD22" i="10"/>
  <c r="CE20" i="31"/>
  <c r="CD20" i="31"/>
  <c r="CE19" i="31"/>
  <c r="CD19" i="31"/>
  <c r="CE18" i="31"/>
  <c r="CD18" i="31"/>
  <c r="CE17" i="31"/>
  <c r="CD17" i="31"/>
  <c r="CE16" i="31"/>
  <c r="CD16" i="31"/>
  <c r="CE15" i="31"/>
  <c r="CD15" i="31"/>
  <c r="CE14" i="31"/>
  <c r="CD14" i="31"/>
  <c r="CE13" i="31"/>
  <c r="CD13" i="31"/>
  <c r="CD21" i="31" s="1"/>
  <c r="CB2" i="33" s="1"/>
  <c r="CE12" i="31"/>
  <c r="CE21" i="31" s="1"/>
  <c r="CC2" i="33" s="1"/>
  <c r="CD12" i="31"/>
  <c r="CE11" i="31"/>
  <c r="CD11" i="31"/>
  <c r="CE10" i="31"/>
  <c r="CD10" i="31"/>
  <c r="CE9" i="31"/>
  <c r="CD9" i="31"/>
  <c r="CE8" i="31"/>
  <c r="CD8" i="31"/>
  <c r="CE7" i="31"/>
  <c r="CD7" i="31"/>
  <c r="CD22" i="31" s="1"/>
  <c r="B40" i="33"/>
  <c r="B39" i="33"/>
  <c r="B38" i="33"/>
  <c r="B37" i="33"/>
  <c r="B36" i="33"/>
  <c r="B35" i="33"/>
  <c r="B34" i="33"/>
  <c r="CA20" i="5"/>
  <c r="BZ20" i="5"/>
  <c r="BY20" i="5"/>
  <c r="BX20" i="5"/>
  <c r="BW20" i="5"/>
  <c r="BV20" i="5"/>
  <c r="BU20" i="5"/>
  <c r="BT20" i="5"/>
  <c r="BS20" i="5"/>
  <c r="CA19" i="5"/>
  <c r="BZ19" i="5"/>
  <c r="BY19" i="5"/>
  <c r="BX19" i="5"/>
  <c r="BW19" i="5"/>
  <c r="BV19" i="5"/>
  <c r="BU19" i="5"/>
  <c r="CB19" i="5"/>
  <c r="CC19" i="5" s="1"/>
  <c r="BT19" i="5"/>
  <c r="BS19" i="5"/>
  <c r="CA18" i="5"/>
  <c r="BZ18" i="5"/>
  <c r="BY18" i="5"/>
  <c r="BX18" i="5"/>
  <c r="BW18" i="5"/>
  <c r="BV18" i="5"/>
  <c r="BU18" i="5"/>
  <c r="BT18" i="5"/>
  <c r="BS18" i="5"/>
  <c r="CA17" i="5"/>
  <c r="BZ17" i="5"/>
  <c r="BY17" i="5"/>
  <c r="BX17" i="5"/>
  <c r="BW17" i="5"/>
  <c r="BV17" i="5"/>
  <c r="BU17" i="5"/>
  <c r="BT17" i="5"/>
  <c r="BS17" i="5"/>
  <c r="CB17" i="5" s="1"/>
  <c r="CC17" i="5" s="1"/>
  <c r="CA16" i="5"/>
  <c r="BZ16" i="5"/>
  <c r="BY16" i="5"/>
  <c r="BX16" i="5"/>
  <c r="BW16" i="5"/>
  <c r="BV16" i="5"/>
  <c r="BU16" i="5"/>
  <c r="BT16" i="5"/>
  <c r="BS16" i="5"/>
  <c r="CA15" i="5"/>
  <c r="BZ15" i="5"/>
  <c r="BY15" i="5"/>
  <c r="BX15" i="5"/>
  <c r="BW15" i="5"/>
  <c r="BV15" i="5"/>
  <c r="BU15" i="5"/>
  <c r="BT15" i="5"/>
  <c r="BS15" i="5"/>
  <c r="BY14" i="5"/>
  <c r="BX14" i="5"/>
  <c r="BW14" i="5"/>
  <c r="BV14" i="5"/>
  <c r="BU14" i="5"/>
  <c r="BT14" i="5"/>
  <c r="BS14" i="5"/>
  <c r="CA13" i="5"/>
  <c r="BZ13" i="5"/>
  <c r="BY13" i="5"/>
  <c r="BX13" i="5"/>
  <c r="BW13" i="5"/>
  <c r="BV13" i="5"/>
  <c r="BU13" i="5"/>
  <c r="BT13" i="5"/>
  <c r="BS13" i="5"/>
  <c r="CA11" i="5"/>
  <c r="BZ11" i="5"/>
  <c r="BY11" i="5"/>
  <c r="BX11" i="5"/>
  <c r="BW11" i="5"/>
  <c r="BV11" i="5"/>
  <c r="BU11" i="5"/>
  <c r="BT11" i="5"/>
  <c r="BS11" i="5"/>
  <c r="CB11" i="5" s="1"/>
  <c r="CC11" i="5" s="1"/>
  <c r="CA10" i="5"/>
  <c r="BZ10" i="5"/>
  <c r="BY10" i="5"/>
  <c r="BX10" i="5"/>
  <c r="BW10" i="5"/>
  <c r="BV10" i="5"/>
  <c r="BU10" i="5"/>
  <c r="BT10" i="5"/>
  <c r="BS10" i="5"/>
  <c r="CA9" i="5"/>
  <c r="BZ9" i="5"/>
  <c r="BY9" i="5"/>
  <c r="BX9" i="5"/>
  <c r="BW9" i="5"/>
  <c r="BV9" i="5"/>
  <c r="BU9" i="5"/>
  <c r="BT9" i="5"/>
  <c r="BS9" i="5"/>
  <c r="CA8" i="5"/>
  <c r="BZ8" i="5"/>
  <c r="BY8" i="5"/>
  <c r="BX8" i="5"/>
  <c r="BW8" i="5"/>
  <c r="BV8" i="5"/>
  <c r="BU8" i="5"/>
  <c r="BT8" i="5"/>
  <c r="BS8" i="5"/>
  <c r="CA7" i="5"/>
  <c r="BZ7" i="5"/>
  <c r="BY7" i="5"/>
  <c r="BX7" i="5"/>
  <c r="BW7" i="5"/>
  <c r="BV7" i="5"/>
  <c r="BU7" i="5"/>
  <c r="BT7" i="5"/>
  <c r="CB7" i="5"/>
  <c r="CC7" i="5" s="1"/>
  <c r="BS7" i="5"/>
  <c r="CA12" i="5"/>
  <c r="BZ12" i="5"/>
  <c r="BY12" i="5"/>
  <c r="BX12" i="5"/>
  <c r="BU12" i="5"/>
  <c r="BT12" i="5"/>
  <c r="BS12" i="5"/>
  <c r="B194" i="33"/>
  <c r="B193" i="33"/>
  <c r="B192" i="33"/>
  <c r="B191" i="33"/>
  <c r="B190" i="33"/>
  <c r="B189" i="33"/>
  <c r="B188" i="33"/>
  <c r="B187" i="33"/>
  <c r="B186" i="33"/>
  <c r="B185" i="33"/>
  <c r="B184" i="33"/>
  <c r="B183" i="33"/>
  <c r="B182" i="33"/>
  <c r="B181" i="33"/>
  <c r="B180" i="33"/>
  <c r="B179" i="33"/>
  <c r="B178" i="33"/>
  <c r="B177" i="33"/>
  <c r="B176" i="33"/>
  <c r="B175" i="33"/>
  <c r="B174" i="33"/>
  <c r="B173" i="33"/>
  <c r="B172" i="33"/>
  <c r="B171" i="33"/>
  <c r="B170" i="33"/>
  <c r="B169" i="33"/>
  <c r="B168" i="33"/>
  <c r="B167" i="33"/>
  <c r="B166" i="33"/>
  <c r="B165" i="33"/>
  <c r="B164" i="33"/>
  <c r="B163" i="33"/>
  <c r="B162" i="33"/>
  <c r="B161" i="33"/>
  <c r="B160" i="33"/>
  <c r="B159" i="33"/>
  <c r="B158" i="33"/>
  <c r="B157" i="33"/>
  <c r="B156" i="33"/>
  <c r="B155" i="33"/>
  <c r="B154" i="33"/>
  <c r="B153" i="33"/>
  <c r="B152" i="33"/>
  <c r="B151" i="33"/>
  <c r="B150" i="33"/>
  <c r="B149" i="33"/>
  <c r="B148" i="33"/>
  <c r="B147" i="33"/>
  <c r="B146" i="33"/>
  <c r="B145" i="33"/>
  <c r="B144" i="33"/>
  <c r="B143" i="33"/>
  <c r="B142" i="33"/>
  <c r="B141" i="33"/>
  <c r="B140" i="33"/>
  <c r="B139" i="33"/>
  <c r="B138" i="33"/>
  <c r="B137" i="33"/>
  <c r="B136" i="33"/>
  <c r="B135" i="33"/>
  <c r="B134" i="33"/>
  <c r="B133" i="33"/>
  <c r="B132" i="33"/>
  <c r="B131" i="33"/>
  <c r="B130" i="33"/>
  <c r="B129" i="33"/>
  <c r="B128" i="33"/>
  <c r="B127" i="33"/>
  <c r="B126" i="33"/>
  <c r="B125" i="33"/>
  <c r="B124" i="33"/>
  <c r="B123" i="33"/>
  <c r="B122" i="33"/>
  <c r="B121" i="33"/>
  <c r="B120" i="33"/>
  <c r="B119" i="33"/>
  <c r="B118" i="33"/>
  <c r="B117" i="33"/>
  <c r="B116" i="33"/>
  <c r="B115" i="33"/>
  <c r="B114" i="33"/>
  <c r="B113" i="33"/>
  <c r="B112" i="33"/>
  <c r="B111" i="33"/>
  <c r="B110" i="33"/>
  <c r="B109" i="33"/>
  <c r="B108" i="33"/>
  <c r="B107" i="33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33" i="33"/>
  <c r="B32" i="33"/>
  <c r="B31" i="33"/>
  <c r="B30" i="33"/>
  <c r="B29" i="33"/>
  <c r="B28" i="33"/>
  <c r="B27" i="33"/>
  <c r="BL35" i="33"/>
  <c r="BN11" i="5"/>
  <c r="BM11" i="5"/>
  <c r="BL11" i="5"/>
  <c r="BK11" i="5"/>
  <c r="BP11" i="5" s="1"/>
  <c r="BJ11" i="5"/>
  <c r="BI11" i="5"/>
  <c r="BH11" i="5"/>
  <c r="BG11" i="5"/>
  <c r="BN10" i="5"/>
  <c r="BM10" i="5"/>
  <c r="BL10" i="5"/>
  <c r="BK10" i="5"/>
  <c r="BJ10" i="5"/>
  <c r="BI10" i="5"/>
  <c r="BH10" i="5"/>
  <c r="BG10" i="5"/>
  <c r="BN9" i="5"/>
  <c r="BM9" i="5"/>
  <c r="BL9" i="5"/>
  <c r="BK9" i="5"/>
  <c r="BJ9" i="5"/>
  <c r="BI9" i="5"/>
  <c r="BH9" i="5"/>
  <c r="BG9" i="5"/>
  <c r="BO9" i="5"/>
  <c r="BN8" i="5"/>
  <c r="BM8" i="5"/>
  <c r="BL8" i="5"/>
  <c r="BK8" i="5"/>
  <c r="BJ8" i="5"/>
  <c r="BI8" i="5"/>
  <c r="BH8" i="5"/>
  <c r="BG8" i="5"/>
  <c r="BO8" i="5"/>
  <c r="BN7" i="5"/>
  <c r="BM7" i="5"/>
  <c r="BL7" i="5"/>
  <c r="BK7" i="5"/>
  <c r="BJ7" i="5"/>
  <c r="BI7" i="5"/>
  <c r="BH7" i="5"/>
  <c r="BG7" i="5"/>
  <c r="BN20" i="5"/>
  <c r="BM20" i="5"/>
  <c r="BL20" i="5"/>
  <c r="BK20" i="5"/>
  <c r="BP20" i="5" s="1"/>
  <c r="BJ20" i="5"/>
  <c r="BI20" i="5"/>
  <c r="BH20" i="5"/>
  <c r="BG20" i="5"/>
  <c r="BO20" i="5" s="1"/>
  <c r="BN19" i="5"/>
  <c r="BM19" i="5"/>
  <c r="BL19" i="5"/>
  <c r="BK19" i="5"/>
  <c r="BJ19" i="5"/>
  <c r="BI19" i="5"/>
  <c r="BH19" i="5"/>
  <c r="BG19" i="5"/>
  <c r="BM18" i="5"/>
  <c r="BL18" i="5"/>
  <c r="BK18" i="5"/>
  <c r="BJ18" i="5"/>
  <c r="BI18" i="5"/>
  <c r="BH18" i="5"/>
  <c r="BM17" i="5"/>
  <c r="BL17" i="5"/>
  <c r="BK17" i="5"/>
  <c r="BJ17" i="5"/>
  <c r="BI17" i="5"/>
  <c r="BH17" i="5"/>
  <c r="BO17" i="5"/>
  <c r="BL39" i="33" s="1"/>
  <c r="BM16" i="5"/>
  <c r="BL16" i="5"/>
  <c r="BK16" i="5"/>
  <c r="BJ16" i="5"/>
  <c r="BI16" i="5"/>
  <c r="BH16" i="5"/>
  <c r="BG16" i="5"/>
  <c r="BO16" i="5" s="1"/>
  <c r="BL38" i="33" s="1"/>
  <c r="BM15" i="5"/>
  <c r="BL15" i="5"/>
  <c r="BK15" i="5"/>
  <c r="BJ15" i="5"/>
  <c r="BI15" i="5"/>
  <c r="BH15" i="5"/>
  <c r="BM14" i="5"/>
  <c r="BL14" i="5"/>
  <c r="BK14" i="5"/>
  <c r="BJ14" i="5"/>
  <c r="BI14" i="5"/>
  <c r="BH14" i="5"/>
  <c r="BM13" i="5"/>
  <c r="BL13" i="5"/>
  <c r="BK13" i="5"/>
  <c r="BJ13" i="5"/>
  <c r="BI13" i="5"/>
  <c r="BH13" i="5"/>
  <c r="BN12" i="5"/>
  <c r="BM12" i="5"/>
  <c r="BL12" i="5"/>
  <c r="BK12" i="5"/>
  <c r="BJ12" i="5"/>
  <c r="BI12" i="5"/>
  <c r="BH12" i="5"/>
  <c r="AY18" i="21"/>
  <c r="AR18" i="21"/>
  <c r="AN18" i="21"/>
  <c r="AL18" i="21"/>
  <c r="AK18" i="21"/>
  <c r="AG18" i="21"/>
  <c r="R18" i="21"/>
  <c r="L18" i="21"/>
  <c r="H18" i="21"/>
  <c r="BT18" i="21" s="1"/>
  <c r="F18" i="21"/>
  <c r="E18" i="21"/>
  <c r="AY17" i="21"/>
  <c r="CG17" i="21" s="1"/>
  <c r="AR17" i="21"/>
  <c r="AO17" i="21"/>
  <c r="AN17" i="21"/>
  <c r="AL17" i="21"/>
  <c r="AK17" i="21"/>
  <c r="AG17" i="21"/>
  <c r="R17" i="21"/>
  <c r="L17" i="21"/>
  <c r="BM17" i="21" s="1"/>
  <c r="H17" i="21"/>
  <c r="BI17" i="21" s="1"/>
  <c r="F17" i="21"/>
  <c r="E17" i="21"/>
  <c r="AR16" i="21"/>
  <c r="BC16" i="21" s="1"/>
  <c r="AO16" i="21"/>
  <c r="AN16" i="21"/>
  <c r="AL16" i="21"/>
  <c r="AK16" i="21"/>
  <c r="AG16" i="21"/>
  <c r="R16" i="21"/>
  <c r="Q16" i="21"/>
  <c r="L16" i="21"/>
  <c r="BM16" i="21" s="1"/>
  <c r="F16" i="21"/>
  <c r="E16" i="21"/>
  <c r="AR15" i="21"/>
  <c r="AO15" i="21"/>
  <c r="AN15" i="21"/>
  <c r="AL15" i="21"/>
  <c r="AK15" i="21"/>
  <c r="AG15" i="21"/>
  <c r="R15" i="21"/>
  <c r="Q15" i="21"/>
  <c r="N15" i="21"/>
  <c r="L15" i="21"/>
  <c r="K15" i="21"/>
  <c r="K22" i="21"/>
  <c r="I24" i="34" s="1"/>
  <c r="H15" i="21"/>
  <c r="F15" i="21"/>
  <c r="E15" i="21"/>
  <c r="BF15" i="21" s="1"/>
  <c r="AR14" i="21"/>
  <c r="BC14" i="21" s="1"/>
  <c r="AO14" i="21"/>
  <c r="AO21" i="21" s="1"/>
  <c r="AM24" i="33" s="1"/>
  <c r="AN14" i="21"/>
  <c r="AK14" i="21"/>
  <c r="AG14" i="21"/>
  <c r="R14" i="21"/>
  <c r="L14" i="21"/>
  <c r="E14" i="21"/>
  <c r="AR13" i="21"/>
  <c r="AR22" i="21"/>
  <c r="AP24" i="34"/>
  <c r="AO13" i="21"/>
  <c r="AN13" i="21"/>
  <c r="AL13" i="21"/>
  <c r="AK13" i="21"/>
  <c r="AG13" i="21"/>
  <c r="R13" i="21"/>
  <c r="L13" i="21"/>
  <c r="BM13" i="21" s="1"/>
  <c r="E13" i="21"/>
  <c r="AY12" i="21"/>
  <c r="AR12" i="21"/>
  <c r="AO12" i="21"/>
  <c r="AN12" i="21"/>
  <c r="AN22" i="21" s="1"/>
  <c r="AL24" i="34" s="1"/>
  <c r="AL12" i="21"/>
  <c r="AK12" i="21"/>
  <c r="AG12" i="21"/>
  <c r="AG22" i="21" s="1"/>
  <c r="AE24" i="34" s="1"/>
  <c r="R12" i="21"/>
  <c r="N12" i="21"/>
  <c r="L12" i="21"/>
  <c r="E12" i="21"/>
  <c r="BF12" i="21"/>
  <c r="AY18" i="9"/>
  <c r="CG18" i="9" s="1"/>
  <c r="AR18" i="9"/>
  <c r="AO18" i="9"/>
  <c r="AN18" i="9"/>
  <c r="AM18" i="9"/>
  <c r="AL18" i="9"/>
  <c r="AF18" i="9"/>
  <c r="AE18" i="9"/>
  <c r="Z18" i="9"/>
  <c r="X18" i="9"/>
  <c r="U18" i="9"/>
  <c r="S18" i="9"/>
  <c r="R18" i="9"/>
  <c r="Q18" i="9"/>
  <c r="N18" i="9"/>
  <c r="K18" i="9"/>
  <c r="K22" i="9" s="1"/>
  <c r="I25" i="34" s="1"/>
  <c r="BL18" i="9"/>
  <c r="AR17" i="9"/>
  <c r="AO17" i="9"/>
  <c r="AN17" i="9"/>
  <c r="AL17" i="9"/>
  <c r="AE17" i="9"/>
  <c r="R17" i="9"/>
  <c r="AR16" i="9"/>
  <c r="AO16" i="9"/>
  <c r="AN16" i="9"/>
  <c r="AL16" i="9"/>
  <c r="AE16" i="9"/>
  <c r="X16" i="9"/>
  <c r="R16" i="9"/>
  <c r="Q16" i="9"/>
  <c r="N16" i="9"/>
  <c r="K16" i="9"/>
  <c r="AR15" i="9"/>
  <c r="AO15" i="9"/>
  <c r="AN15" i="9"/>
  <c r="AL15" i="9"/>
  <c r="AE15" i="9"/>
  <c r="X15" i="9"/>
  <c r="S15" i="9"/>
  <c r="R15" i="9"/>
  <c r="Q15" i="9"/>
  <c r="N15" i="9"/>
  <c r="K15" i="9"/>
  <c r="AY14" i="9"/>
  <c r="CG14" i="9" s="1"/>
  <c r="BD14" i="9"/>
  <c r="AR14" i="9"/>
  <c r="AO14" i="9"/>
  <c r="AN14" i="9"/>
  <c r="AL14" i="9"/>
  <c r="AE14" i="9"/>
  <c r="X14" i="9"/>
  <c r="S14" i="9"/>
  <c r="R14" i="9"/>
  <c r="Q14" i="9"/>
  <c r="N14" i="9"/>
  <c r="K14" i="9"/>
  <c r="AR13" i="9"/>
  <c r="BC13" i="9" s="1"/>
  <c r="AO13" i="9"/>
  <c r="AN13" i="9"/>
  <c r="AM13" i="9"/>
  <c r="AL13" i="9"/>
  <c r="AK13" i="9"/>
  <c r="AF13" i="9"/>
  <c r="AE13" i="9"/>
  <c r="Z13" i="9"/>
  <c r="X13" i="9"/>
  <c r="U13" i="9"/>
  <c r="S13" i="9"/>
  <c r="R13" i="9"/>
  <c r="Q13" i="9"/>
  <c r="P13" i="9"/>
  <c r="N13" i="9"/>
  <c r="K13" i="9"/>
  <c r="AR12" i="9"/>
  <c r="AO12" i="9"/>
  <c r="AO21" i="9" s="1"/>
  <c r="AM25" i="33" s="1"/>
  <c r="AN12" i="9"/>
  <c r="AN22" i="9" s="1"/>
  <c r="AL25" i="34" s="1"/>
  <c r="AM12" i="9"/>
  <c r="AL12" i="9"/>
  <c r="AK12" i="9"/>
  <c r="AF12" i="9"/>
  <c r="AE12" i="9"/>
  <c r="AE22" i="9"/>
  <c r="AC25" i="34"/>
  <c r="AC12" i="9"/>
  <c r="AB12" i="9"/>
  <c r="Z12" i="9"/>
  <c r="Z21" i="9" s="1"/>
  <c r="X25" i="33" s="1"/>
  <c r="X12" i="9"/>
  <c r="X22" i="9" s="1"/>
  <c r="V25" i="34" s="1"/>
  <c r="U12" i="9"/>
  <c r="S12" i="9"/>
  <c r="R12" i="9"/>
  <c r="Q12" i="9"/>
  <c r="Q21" i="9"/>
  <c r="O25" i="33" s="1"/>
  <c r="BV25" i="33" s="1"/>
  <c r="N12" i="9"/>
  <c r="R18" i="16"/>
  <c r="Q18" i="16"/>
  <c r="E18" i="16"/>
  <c r="AY17" i="16"/>
  <c r="CG17" i="16" s="1"/>
  <c r="BD17" i="16"/>
  <c r="AS17" i="16"/>
  <c r="AR17" i="16"/>
  <c r="AO17" i="16"/>
  <c r="AN17" i="16"/>
  <c r="AK17" i="16"/>
  <c r="AJ17" i="16"/>
  <c r="AG17" i="16"/>
  <c r="R17" i="16"/>
  <c r="Q17" i="16"/>
  <c r="N17" i="16"/>
  <c r="E17" i="16"/>
  <c r="AY16" i="16"/>
  <c r="CG16" i="16" s="1"/>
  <c r="BD16" i="16"/>
  <c r="AR16" i="16"/>
  <c r="AO16" i="16"/>
  <c r="AN16" i="16"/>
  <c r="AL16" i="16"/>
  <c r="AK16" i="16"/>
  <c r="AG16" i="16"/>
  <c r="U16" i="16"/>
  <c r="R16" i="16"/>
  <c r="N16" i="16"/>
  <c r="E16" i="16"/>
  <c r="AR15" i="16"/>
  <c r="AO15" i="16"/>
  <c r="AN15" i="16"/>
  <c r="AK15" i="16"/>
  <c r="AG15" i="16"/>
  <c r="U15" i="16"/>
  <c r="R15" i="16"/>
  <c r="N15" i="16"/>
  <c r="L15" i="16"/>
  <c r="E15" i="16"/>
  <c r="BF15" i="16"/>
  <c r="AY14" i="16"/>
  <c r="CG14" i="16" s="1"/>
  <c r="AR14" i="16"/>
  <c r="BC14" i="16" s="1"/>
  <c r="AO14" i="16"/>
  <c r="AN14" i="16"/>
  <c r="AL14" i="16"/>
  <c r="AK14" i="16"/>
  <c r="AG14" i="16"/>
  <c r="R14" i="16"/>
  <c r="Q14" i="16"/>
  <c r="AY13" i="16"/>
  <c r="CG13" i="16" s="1"/>
  <c r="AR13" i="16"/>
  <c r="AO13" i="16"/>
  <c r="AN13" i="16"/>
  <c r="AL13" i="16"/>
  <c r="AK13" i="16"/>
  <c r="AG13" i="16"/>
  <c r="AG21" i="16" s="1"/>
  <c r="AE23" i="33" s="1"/>
  <c r="U13" i="16"/>
  <c r="R13" i="16"/>
  <c r="Q13" i="16"/>
  <c r="Q21" i="16" s="1"/>
  <c r="O23" i="33" s="1"/>
  <c r="BV23" i="33" s="1"/>
  <c r="E13" i="16"/>
  <c r="BF13" i="16"/>
  <c r="AY12" i="16"/>
  <c r="CG12" i="16" s="1"/>
  <c r="AR12" i="16"/>
  <c r="AO12" i="16"/>
  <c r="AN12" i="16"/>
  <c r="AN21" i="16"/>
  <c r="AL23" i="33" s="1"/>
  <c r="AM12" i="16"/>
  <c r="AL12" i="16"/>
  <c r="AK12" i="16"/>
  <c r="AK21" i="16" s="1"/>
  <c r="AI23" i="33" s="1"/>
  <c r="AJ12" i="16"/>
  <c r="AG12" i="16"/>
  <c r="U12" i="16"/>
  <c r="R12" i="16"/>
  <c r="N12" i="16"/>
  <c r="L12" i="16"/>
  <c r="E12" i="16"/>
  <c r="AY18" i="16"/>
  <c r="AS18" i="16"/>
  <c r="AR18" i="16"/>
  <c r="AO18" i="16"/>
  <c r="AN18" i="16"/>
  <c r="AL18" i="16"/>
  <c r="AK18" i="16"/>
  <c r="AJ18" i="16"/>
  <c r="AG18" i="16"/>
  <c r="S18" i="16"/>
  <c r="BZ18" i="16"/>
  <c r="BC17" i="16"/>
  <c r="AJ21" i="16"/>
  <c r="AH23" i="33" s="1"/>
  <c r="BW16" i="16"/>
  <c r="BD14" i="16"/>
  <c r="BD12" i="16"/>
  <c r="AR21" i="16"/>
  <c r="AP23" i="33" s="1"/>
  <c r="AY18" i="17"/>
  <c r="CG18" i="17" s="1"/>
  <c r="AR18" i="17"/>
  <c r="AO18" i="17"/>
  <c r="AN18" i="17"/>
  <c r="AK18" i="17"/>
  <c r="AG18" i="17"/>
  <c r="U18" i="17"/>
  <c r="R18" i="17"/>
  <c r="L18" i="17"/>
  <c r="E18" i="17"/>
  <c r="AY17" i="17"/>
  <c r="CG17" i="17" s="1"/>
  <c r="BD17" i="17"/>
  <c r="AR17" i="17"/>
  <c r="BC17" i="17" s="1"/>
  <c r="AO17" i="17"/>
  <c r="AN17" i="17"/>
  <c r="AL17" i="17"/>
  <c r="AK17" i="17"/>
  <c r="AG17" i="17"/>
  <c r="U17" i="17"/>
  <c r="U22" i="17" s="1"/>
  <c r="S22" i="34" s="1"/>
  <c r="R17" i="17"/>
  <c r="AY16" i="17"/>
  <c r="CG16" i="17" s="1"/>
  <c r="BD16" i="17"/>
  <c r="AR16" i="17"/>
  <c r="AO16" i="17"/>
  <c r="AN16" i="17"/>
  <c r="AK16" i="17"/>
  <c r="AG16" i="17"/>
  <c r="U16" i="17"/>
  <c r="R16" i="17"/>
  <c r="L16" i="17"/>
  <c r="L21" i="17"/>
  <c r="E16" i="17"/>
  <c r="AY15" i="17"/>
  <c r="CG15" i="17" s="1"/>
  <c r="AR15" i="17"/>
  <c r="AO15" i="17"/>
  <c r="AN15" i="17"/>
  <c r="AK15" i="17"/>
  <c r="AG15" i="17"/>
  <c r="U15" i="17"/>
  <c r="S15" i="17"/>
  <c r="R15" i="17"/>
  <c r="E15" i="17"/>
  <c r="AY14" i="17"/>
  <c r="CG14" i="17" s="1"/>
  <c r="AR14" i="17"/>
  <c r="AO14" i="17"/>
  <c r="AN14" i="17"/>
  <c r="AK14" i="17"/>
  <c r="AG14" i="17"/>
  <c r="U14" i="17"/>
  <c r="R14" i="17"/>
  <c r="E14" i="17"/>
  <c r="BF14" i="17" s="1"/>
  <c r="AY13" i="17"/>
  <c r="CG13" i="17" s="1"/>
  <c r="AR13" i="17"/>
  <c r="BC13" i="17" s="1"/>
  <c r="AO13" i="17"/>
  <c r="AN13" i="17"/>
  <c r="AK13" i="17"/>
  <c r="AG13" i="17"/>
  <c r="U13" i="17"/>
  <c r="R13" i="17"/>
  <c r="E13" i="17"/>
  <c r="AY12" i="17"/>
  <c r="AT12" i="17"/>
  <c r="AT22" i="17"/>
  <c r="AR22" i="34"/>
  <c r="AS12" i="17"/>
  <c r="AS21" i="17" s="1"/>
  <c r="AQ22" i="33" s="1"/>
  <c r="AR12" i="17"/>
  <c r="AO12" i="17"/>
  <c r="AO21" i="17" s="1"/>
  <c r="AM22" i="33" s="1"/>
  <c r="AN12" i="17"/>
  <c r="AL12" i="17"/>
  <c r="AL22" i="17" s="1"/>
  <c r="AJ22" i="34" s="1"/>
  <c r="AK12" i="17"/>
  <c r="AJ12" i="17"/>
  <c r="AG12" i="17"/>
  <c r="AD12" i="17"/>
  <c r="AD22" i="17" s="1"/>
  <c r="AB22" i="34" s="1"/>
  <c r="AA12" i="17"/>
  <c r="R12" i="17"/>
  <c r="Q12" i="17"/>
  <c r="Q21" i="17"/>
  <c r="O22" i="33"/>
  <c r="BV22" i="33" s="1"/>
  <c r="E12" i="17"/>
  <c r="S16" i="29"/>
  <c r="AR15" i="29"/>
  <c r="BC15" i="29" s="1"/>
  <c r="S15" i="29"/>
  <c r="BZ15" i="29"/>
  <c r="AR13" i="29"/>
  <c r="AR22" i="29"/>
  <c r="AP21" i="34" s="1"/>
  <c r="S13" i="29"/>
  <c r="AR12" i="29"/>
  <c r="U12" i="29"/>
  <c r="S12" i="29"/>
  <c r="BZ12" i="29"/>
  <c r="AR18" i="13"/>
  <c r="AO18" i="13"/>
  <c r="AN18" i="13"/>
  <c r="AK18" i="13"/>
  <c r="AG18" i="13"/>
  <c r="U18" i="13"/>
  <c r="R18" i="13"/>
  <c r="E18" i="13"/>
  <c r="AR17" i="13"/>
  <c r="AO17" i="13"/>
  <c r="AN17" i="13"/>
  <c r="AK17" i="13"/>
  <c r="AG17" i="13"/>
  <c r="U17" i="13"/>
  <c r="R17" i="13"/>
  <c r="L17" i="13"/>
  <c r="BM17" i="13" s="1"/>
  <c r="F17" i="13"/>
  <c r="E17" i="13"/>
  <c r="AR16" i="13"/>
  <c r="BC16" i="13" s="1"/>
  <c r="AO16" i="13"/>
  <c r="AN16" i="13"/>
  <c r="AN22" i="13" s="1"/>
  <c r="AL20" i="34" s="1"/>
  <c r="AL16" i="13"/>
  <c r="AK16" i="13"/>
  <c r="AG16" i="13"/>
  <c r="U16" i="13"/>
  <c r="R16" i="13"/>
  <c r="Q16" i="13"/>
  <c r="L16" i="13"/>
  <c r="BM16" i="13"/>
  <c r="F16" i="13"/>
  <c r="E16" i="13"/>
  <c r="AR15" i="13"/>
  <c r="AO15" i="13"/>
  <c r="AN15" i="13"/>
  <c r="AM15" i="13"/>
  <c r="AL15" i="13"/>
  <c r="AK15" i="13"/>
  <c r="AG15" i="13"/>
  <c r="U15" i="13"/>
  <c r="R15" i="13"/>
  <c r="Q15" i="13"/>
  <c r="BX15" i="13" s="1"/>
  <c r="E15" i="13"/>
  <c r="AR14" i="13"/>
  <c r="AO14" i="13"/>
  <c r="AN14" i="13"/>
  <c r="AK14" i="13"/>
  <c r="AG14" i="13"/>
  <c r="U14" i="13"/>
  <c r="R14" i="13"/>
  <c r="Q14" i="13"/>
  <c r="L14" i="13"/>
  <c r="E14" i="13"/>
  <c r="AO13" i="13"/>
  <c r="AO21" i="13"/>
  <c r="AM20" i="33" s="1"/>
  <c r="AN13" i="13"/>
  <c r="AL13" i="13"/>
  <c r="AK13" i="13"/>
  <c r="AG13" i="13"/>
  <c r="U13" i="13"/>
  <c r="R13" i="13"/>
  <c r="Q13" i="13"/>
  <c r="N13" i="13"/>
  <c r="BW13" i="13"/>
  <c r="E13" i="13"/>
  <c r="E22" i="13" s="1"/>
  <c r="C20" i="34" s="1"/>
  <c r="AR12" i="13"/>
  <c r="AO12" i="13"/>
  <c r="AN12" i="13"/>
  <c r="AL12" i="13"/>
  <c r="AK12" i="13"/>
  <c r="AK22" i="13" s="1"/>
  <c r="AI20" i="34" s="1"/>
  <c r="AG12" i="13"/>
  <c r="AE12" i="13"/>
  <c r="AE22" i="13"/>
  <c r="AC20" i="34"/>
  <c r="U12" i="13"/>
  <c r="R12" i="13"/>
  <c r="Q12" i="13"/>
  <c r="L12" i="13"/>
  <c r="L22" i="13" s="1"/>
  <c r="J20" i="34" s="1"/>
  <c r="E12" i="13"/>
  <c r="AR18" i="14"/>
  <c r="BC18" i="14" s="1"/>
  <c r="AN18" i="14"/>
  <c r="AK18" i="14"/>
  <c r="AG18" i="14"/>
  <c r="U18" i="14"/>
  <c r="R18" i="14"/>
  <c r="L18" i="14"/>
  <c r="E18" i="14"/>
  <c r="BF18" i="14" s="1"/>
  <c r="AR17" i="14"/>
  <c r="AN17" i="14"/>
  <c r="AK17" i="14"/>
  <c r="AG17" i="14"/>
  <c r="U17" i="14"/>
  <c r="R17" i="14"/>
  <c r="E17" i="14"/>
  <c r="AR16" i="14"/>
  <c r="BC16" i="14"/>
  <c r="AK16" i="14"/>
  <c r="AG16" i="14"/>
  <c r="U16" i="14"/>
  <c r="R16" i="14"/>
  <c r="F16" i="14"/>
  <c r="E16" i="14"/>
  <c r="AR15" i="14"/>
  <c r="AO15" i="14"/>
  <c r="AO22" i="14" s="1"/>
  <c r="AM19" i="34" s="1"/>
  <c r="AN15" i="14"/>
  <c r="AL15" i="14"/>
  <c r="AK15" i="14"/>
  <c r="AG15" i="14"/>
  <c r="U15" i="14"/>
  <c r="R15" i="14"/>
  <c r="Q15" i="14"/>
  <c r="BX15" i="14"/>
  <c r="E15" i="14"/>
  <c r="BF15" i="14" s="1"/>
  <c r="AY14" i="14"/>
  <c r="CG14" i="14" s="1"/>
  <c r="AR14" i="14"/>
  <c r="AO14" i="14"/>
  <c r="AN14" i="14"/>
  <c r="AL14" i="14"/>
  <c r="AK14" i="14"/>
  <c r="AG14" i="14"/>
  <c r="R14" i="14"/>
  <c r="E14" i="14"/>
  <c r="AR13" i="14"/>
  <c r="AO13" i="14"/>
  <c r="AN13" i="14"/>
  <c r="AK13" i="14"/>
  <c r="AG13" i="14"/>
  <c r="R13" i="14"/>
  <c r="O13" i="14"/>
  <c r="E13" i="14"/>
  <c r="E22" i="14" s="1"/>
  <c r="C19" i="34" s="1"/>
  <c r="AR12" i="14"/>
  <c r="AO12" i="14"/>
  <c r="AN12" i="14"/>
  <c r="AN22" i="14"/>
  <c r="AL19" i="34" s="1"/>
  <c r="AK12" i="14"/>
  <c r="AG12" i="14"/>
  <c r="U12" i="14"/>
  <c r="R12" i="14"/>
  <c r="R22" i="14" s="1"/>
  <c r="P19" i="34" s="1"/>
  <c r="O12" i="14"/>
  <c r="N12" i="14"/>
  <c r="L12" i="14"/>
  <c r="L22" i="14" s="1"/>
  <c r="J19" i="34" s="1"/>
  <c r="E12" i="14"/>
  <c r="AO18" i="26"/>
  <c r="AN18" i="26"/>
  <c r="AL18" i="26"/>
  <c r="AK18" i="26"/>
  <c r="R18" i="26"/>
  <c r="AO17" i="26"/>
  <c r="AN17" i="26"/>
  <c r="AL17" i="26"/>
  <c r="AK17" i="26"/>
  <c r="R17" i="26"/>
  <c r="AO16" i="26"/>
  <c r="AN16" i="26"/>
  <c r="AL16" i="26"/>
  <c r="AK16" i="26"/>
  <c r="R16" i="26"/>
  <c r="E16" i="26"/>
  <c r="E21" i="26"/>
  <c r="AO15" i="26"/>
  <c r="AN15" i="26"/>
  <c r="AL15" i="26"/>
  <c r="AK15" i="26"/>
  <c r="R15" i="26"/>
  <c r="E15" i="26"/>
  <c r="AO14" i="26"/>
  <c r="AN14" i="26"/>
  <c r="AL14" i="26"/>
  <c r="AK14" i="26"/>
  <c r="R14" i="26"/>
  <c r="AO13" i="26"/>
  <c r="AN13" i="26"/>
  <c r="AL13" i="26"/>
  <c r="AK13" i="26"/>
  <c r="R13" i="26"/>
  <c r="AO12" i="26"/>
  <c r="AO21" i="26" s="1"/>
  <c r="AM18" i="33" s="1"/>
  <c r="AN12" i="26"/>
  <c r="AN21" i="26" s="1"/>
  <c r="AL18" i="33" s="1"/>
  <c r="AL12" i="26"/>
  <c r="AK12" i="26"/>
  <c r="AK21" i="26"/>
  <c r="AI18" i="33" s="1"/>
  <c r="R12" i="26"/>
  <c r="AY18" i="28"/>
  <c r="CG18" i="28" s="1"/>
  <c r="AR18" i="28"/>
  <c r="AO18" i="28"/>
  <c r="AN18" i="28"/>
  <c r="AL18" i="28"/>
  <c r="AK18" i="28"/>
  <c r="R18" i="28"/>
  <c r="E18" i="28"/>
  <c r="BF18" i="28"/>
  <c r="AY17" i="28"/>
  <c r="CG17" i="28" s="1"/>
  <c r="AR17" i="28"/>
  <c r="AO17" i="28"/>
  <c r="AN17" i="28"/>
  <c r="AL17" i="28"/>
  <c r="AK17" i="28"/>
  <c r="R17" i="28"/>
  <c r="E17" i="28"/>
  <c r="BF17" i="28" s="1"/>
  <c r="AY16" i="28"/>
  <c r="CG16" i="28" s="1"/>
  <c r="AR16" i="28"/>
  <c r="AO16" i="28"/>
  <c r="AN16" i="28"/>
  <c r="AL16" i="28"/>
  <c r="AK16" i="28"/>
  <c r="R16" i="28"/>
  <c r="E16" i="28"/>
  <c r="AR15" i="28"/>
  <c r="AO15" i="28"/>
  <c r="AN15" i="28"/>
  <c r="AL15" i="28"/>
  <c r="AK15" i="28"/>
  <c r="R15" i="28"/>
  <c r="E15" i="28"/>
  <c r="AR14" i="28"/>
  <c r="BC14" i="28" s="1"/>
  <c r="AO14" i="28"/>
  <c r="AN14" i="28"/>
  <c r="AL14" i="28"/>
  <c r="AK14" i="28"/>
  <c r="AK21" i="28" s="1"/>
  <c r="AI17" i="33" s="1"/>
  <c r="AG14" i="28"/>
  <c r="R14" i="28"/>
  <c r="E14" i="28"/>
  <c r="E21" i="28" s="1"/>
  <c r="AR13" i="28"/>
  <c r="AO13" i="28"/>
  <c r="AN13" i="28"/>
  <c r="AL13" i="28"/>
  <c r="AK13" i="28"/>
  <c r="R13" i="28"/>
  <c r="E13" i="28"/>
  <c r="AR12" i="28"/>
  <c r="AO12" i="28"/>
  <c r="AN12" i="28"/>
  <c r="AN21" i="28" s="1"/>
  <c r="AL17" i="33" s="1"/>
  <c r="AL12" i="28"/>
  <c r="AK12" i="28"/>
  <c r="R12" i="28"/>
  <c r="R22" i="28"/>
  <c r="P17" i="34" s="1"/>
  <c r="E12" i="28"/>
  <c r="AO18" i="27"/>
  <c r="AN18" i="27"/>
  <c r="AL18" i="27"/>
  <c r="AK18" i="27"/>
  <c r="AJ18" i="27"/>
  <c r="AI18" i="27"/>
  <c r="AH18" i="27"/>
  <c r="AG18" i="27"/>
  <c r="AF18" i="27"/>
  <c r="AE18" i="27"/>
  <c r="AD18" i="27"/>
  <c r="X18" i="27"/>
  <c r="R18" i="27"/>
  <c r="AO17" i="27"/>
  <c r="AN17" i="27"/>
  <c r="AL17" i="27"/>
  <c r="AK17" i="27"/>
  <c r="AJ17" i="27"/>
  <c r="AI17" i="27"/>
  <c r="AH17" i="27"/>
  <c r="AG17" i="27"/>
  <c r="AF17" i="27"/>
  <c r="AE17" i="27"/>
  <c r="AD17" i="27"/>
  <c r="X17" i="27"/>
  <c r="AO16" i="27"/>
  <c r="AN16" i="27"/>
  <c r="AL16" i="27"/>
  <c r="AK16" i="27"/>
  <c r="AJ16" i="27"/>
  <c r="AI16" i="27"/>
  <c r="AH16" i="27"/>
  <c r="AG16" i="27"/>
  <c r="AF16" i="27"/>
  <c r="AE16" i="27"/>
  <c r="AD16" i="27"/>
  <c r="X16" i="27"/>
  <c r="R16" i="27"/>
  <c r="R22" i="27" s="1"/>
  <c r="P16" i="34" s="1"/>
  <c r="E16" i="27"/>
  <c r="AO15" i="27"/>
  <c r="AN15" i="27"/>
  <c r="AL15" i="27"/>
  <c r="AK15" i="27"/>
  <c r="AJ15" i="27"/>
  <c r="AI15" i="27"/>
  <c r="AH15" i="27"/>
  <c r="AG15" i="27"/>
  <c r="AF15" i="27"/>
  <c r="AE15" i="27"/>
  <c r="AD15" i="27"/>
  <c r="AB15" i="27"/>
  <c r="X15" i="27"/>
  <c r="R15" i="27"/>
  <c r="AO14" i="27"/>
  <c r="AN14" i="27"/>
  <c r="AL14" i="27"/>
  <c r="AK14" i="27"/>
  <c r="AJ14" i="27"/>
  <c r="AI14" i="27"/>
  <c r="AH14" i="27"/>
  <c r="AG14" i="27"/>
  <c r="AF14" i="27"/>
  <c r="AE14" i="27"/>
  <c r="AD14" i="27"/>
  <c r="AC14" i="27"/>
  <c r="AB14" i="27"/>
  <c r="X14" i="27"/>
  <c r="X22" i="27" s="1"/>
  <c r="V16" i="34" s="1"/>
  <c r="R14" i="27"/>
  <c r="E14" i="27"/>
  <c r="AO13" i="27"/>
  <c r="AN13" i="27"/>
  <c r="AL13" i="27"/>
  <c r="AJ16" i="34"/>
  <c r="AK13" i="27"/>
  <c r="AK22" i="27" s="1"/>
  <c r="AI16" i="34" s="1"/>
  <c r="AJ13" i="27"/>
  <c r="AI13" i="27"/>
  <c r="AH13" i="27"/>
  <c r="AH22" i="27"/>
  <c r="AF16" i="34" s="1"/>
  <c r="AG13" i="27"/>
  <c r="AF13" i="27"/>
  <c r="AE13" i="27"/>
  <c r="AD13" i="27"/>
  <c r="AC13" i="27"/>
  <c r="AC22" i="27" s="1"/>
  <c r="AB13" i="27"/>
  <c r="X13" i="27"/>
  <c r="R13" i="27"/>
  <c r="AO12" i="27"/>
  <c r="AN12" i="27"/>
  <c r="AL12" i="27"/>
  <c r="AL22" i="27" s="1"/>
  <c r="AK12" i="27"/>
  <c r="AJ12" i="27"/>
  <c r="AJ22" i="27" s="1"/>
  <c r="AH16" i="34" s="1"/>
  <c r="AI12" i="27"/>
  <c r="AH12" i="27"/>
  <c r="AG12" i="27"/>
  <c r="AG22" i="27"/>
  <c r="AE16" i="34" s="1"/>
  <c r="AF12" i="27"/>
  <c r="AE12" i="27"/>
  <c r="AD12" i="27"/>
  <c r="AD22" i="27" s="1"/>
  <c r="AB16" i="34" s="1"/>
  <c r="AC12" i="27"/>
  <c r="AA16" i="34"/>
  <c r="AB12" i="27"/>
  <c r="X12" i="27"/>
  <c r="R12" i="27"/>
  <c r="AO18" i="19"/>
  <c r="AN18" i="19"/>
  <c r="AM18" i="19"/>
  <c r="AL18" i="19"/>
  <c r="AK18" i="19"/>
  <c r="AJ18" i="19"/>
  <c r="AI18" i="19"/>
  <c r="AG18" i="19"/>
  <c r="AD18" i="19"/>
  <c r="X18" i="19"/>
  <c r="R18" i="19"/>
  <c r="Q18" i="19"/>
  <c r="Q22" i="19"/>
  <c r="O15" i="34" s="1"/>
  <c r="N18" i="19"/>
  <c r="E18" i="19"/>
  <c r="AO17" i="19"/>
  <c r="AN17" i="19"/>
  <c r="AM17" i="19"/>
  <c r="AL17" i="19"/>
  <c r="AK17" i="19"/>
  <c r="AJ17" i="19"/>
  <c r="AI17" i="19"/>
  <c r="AG17" i="19"/>
  <c r="AE17" i="19"/>
  <c r="AD17" i="19"/>
  <c r="X17" i="19"/>
  <c r="R17" i="19"/>
  <c r="N17" i="19"/>
  <c r="H17" i="19"/>
  <c r="BI17" i="19" s="1"/>
  <c r="E17" i="19"/>
  <c r="AO16" i="19"/>
  <c r="AN16" i="19"/>
  <c r="AL16" i="19"/>
  <c r="AJ15" i="33"/>
  <c r="AK16" i="19"/>
  <c r="AJ16" i="19"/>
  <c r="AI16" i="19"/>
  <c r="AG16" i="19"/>
  <c r="AD16" i="19"/>
  <c r="X16" i="19"/>
  <c r="R16" i="19"/>
  <c r="N16" i="19"/>
  <c r="BW16" i="19"/>
  <c r="J16" i="19"/>
  <c r="E16" i="19"/>
  <c r="AO15" i="19"/>
  <c r="AN15" i="19"/>
  <c r="AM15" i="19"/>
  <c r="AL15" i="19"/>
  <c r="AL21" i="19" s="1"/>
  <c r="AK15" i="19"/>
  <c r="AJ15" i="19"/>
  <c r="AH15" i="34"/>
  <c r="AI15" i="19"/>
  <c r="AG15" i="19"/>
  <c r="AD15" i="19"/>
  <c r="X15" i="19"/>
  <c r="X22" i="19"/>
  <c r="V15" i="34" s="1"/>
  <c r="R15" i="19"/>
  <c r="N15" i="19"/>
  <c r="J15" i="19"/>
  <c r="E15" i="19"/>
  <c r="AR14" i="19"/>
  <c r="AO14" i="19"/>
  <c r="AN14" i="19"/>
  <c r="AM14" i="19"/>
  <c r="AL14" i="19"/>
  <c r="AK14" i="19"/>
  <c r="AJ14" i="19"/>
  <c r="AI14" i="19"/>
  <c r="AG14" i="19"/>
  <c r="AD14" i="19"/>
  <c r="X14" i="19"/>
  <c r="R14" i="19"/>
  <c r="N14" i="19"/>
  <c r="J14" i="19"/>
  <c r="E14" i="19"/>
  <c r="AO13" i="19"/>
  <c r="AN13" i="19"/>
  <c r="AM13" i="19"/>
  <c r="AL13" i="19"/>
  <c r="AK13" i="19"/>
  <c r="AK21" i="19"/>
  <c r="AI15" i="33" s="1"/>
  <c r="AJ13" i="19"/>
  <c r="AI13" i="19"/>
  <c r="AG13" i="19"/>
  <c r="AD13" i="19"/>
  <c r="X13" i="19"/>
  <c r="R13" i="19"/>
  <c r="N13" i="19"/>
  <c r="J13" i="19"/>
  <c r="BK13" i="19"/>
  <c r="E13" i="19"/>
  <c r="AO12" i="19"/>
  <c r="AO22" i="19" s="1"/>
  <c r="AM15" i="34" s="1"/>
  <c r="AN12" i="19"/>
  <c r="AN22" i="19" s="1"/>
  <c r="AL15" i="34" s="1"/>
  <c r="AM12" i="19"/>
  <c r="AL12" i="19"/>
  <c r="AK12" i="19"/>
  <c r="AJ12" i="19"/>
  <c r="AJ22" i="19" s="1"/>
  <c r="AI12" i="19"/>
  <c r="AG12" i="19"/>
  <c r="AE12" i="19"/>
  <c r="AD12" i="19"/>
  <c r="AD21" i="19" s="1"/>
  <c r="AB15" i="33" s="1"/>
  <c r="AB12" i="19"/>
  <c r="AB22" i="19"/>
  <c r="Z15" i="34"/>
  <c r="X12" i="19"/>
  <c r="U12" i="19"/>
  <c r="R12" i="19"/>
  <c r="R21" i="19" s="1"/>
  <c r="P15" i="33" s="1"/>
  <c r="N12" i="19"/>
  <c r="N22" i="19" s="1"/>
  <c r="L15" i="34" s="1"/>
  <c r="J12" i="19"/>
  <c r="E12" i="19"/>
  <c r="AU18" i="8"/>
  <c r="AT18" i="8"/>
  <c r="AS18" i="8"/>
  <c r="AR18" i="8"/>
  <c r="BC18" i="8" s="1"/>
  <c r="AO18" i="8"/>
  <c r="AN18" i="8"/>
  <c r="AL18" i="8"/>
  <c r="AK18" i="8"/>
  <c r="R18" i="8"/>
  <c r="AU17" i="8"/>
  <c r="AT17" i="8"/>
  <c r="AR17" i="8"/>
  <c r="AO17" i="8"/>
  <c r="AN17" i="8"/>
  <c r="AL17" i="8"/>
  <c r="AK17" i="8"/>
  <c r="AG17" i="8"/>
  <c r="R17" i="8"/>
  <c r="AU16" i="8"/>
  <c r="AT16" i="8"/>
  <c r="AR16" i="8"/>
  <c r="BC16" i="8" s="1"/>
  <c r="AO16" i="8"/>
  <c r="AN16" i="8"/>
  <c r="AL16" i="8"/>
  <c r="AL21" i="8" s="1"/>
  <c r="AJ14" i="33" s="1"/>
  <c r="AK16" i="8"/>
  <c r="AK22" i="8" s="1"/>
  <c r="AI14" i="34" s="1"/>
  <c r="R16" i="8"/>
  <c r="AU15" i="8"/>
  <c r="AT15" i="8"/>
  <c r="BC15" i="8"/>
  <c r="AS15" i="8"/>
  <c r="AR15" i="8"/>
  <c r="AO15" i="8"/>
  <c r="AN15" i="8"/>
  <c r="AL15" i="8"/>
  <c r="AK15" i="8"/>
  <c r="AG15" i="8"/>
  <c r="R15" i="8"/>
  <c r="AU14" i="8"/>
  <c r="AT14" i="8"/>
  <c r="AS14" i="8"/>
  <c r="AR14" i="8"/>
  <c r="AO14" i="8"/>
  <c r="AN14" i="8"/>
  <c r="AL14" i="8"/>
  <c r="AK14" i="8"/>
  <c r="AG14" i="8"/>
  <c r="R14" i="8"/>
  <c r="AU13" i="8"/>
  <c r="AT13" i="8"/>
  <c r="BC13" i="8" s="1"/>
  <c r="AR13" i="8"/>
  <c r="AO13" i="8"/>
  <c r="AN13" i="8"/>
  <c r="AL13" i="8"/>
  <c r="AK13" i="8"/>
  <c r="R13" i="8"/>
  <c r="AY12" i="8"/>
  <c r="CG12" i="8" s="1"/>
  <c r="CG21" i="8" s="1"/>
  <c r="CE14" i="33" s="1"/>
  <c r="AU12" i="8"/>
  <c r="AU21" i="8" s="1"/>
  <c r="AS14" i="33" s="1"/>
  <c r="AR12" i="8"/>
  <c r="AO12" i="8"/>
  <c r="AN12" i="8"/>
  <c r="AL12" i="8"/>
  <c r="AK12" i="8"/>
  <c r="AG12" i="8"/>
  <c r="R12" i="8"/>
  <c r="R21" i="8" s="1"/>
  <c r="P14" i="33" s="1"/>
  <c r="AU18" i="6"/>
  <c r="AT18" i="6"/>
  <c r="AR18" i="6"/>
  <c r="AO18" i="6"/>
  <c r="AN18" i="6"/>
  <c r="AL18" i="6"/>
  <c r="AK18" i="6"/>
  <c r="R18" i="6"/>
  <c r="AU17" i="6"/>
  <c r="AT17" i="6"/>
  <c r="AR17" i="6"/>
  <c r="AO17" i="6"/>
  <c r="AN17" i="6"/>
  <c r="AL17" i="6"/>
  <c r="AK17" i="6"/>
  <c r="R17" i="6"/>
  <c r="AU16" i="6"/>
  <c r="AT16" i="6"/>
  <c r="AR16" i="6"/>
  <c r="AO16" i="6"/>
  <c r="AN16" i="6"/>
  <c r="AL16" i="6"/>
  <c r="AK16" i="6"/>
  <c r="R16" i="6"/>
  <c r="AU15" i="6"/>
  <c r="AT15" i="6"/>
  <c r="AR15" i="6"/>
  <c r="AO15" i="6"/>
  <c r="AN15" i="6"/>
  <c r="AL15" i="6"/>
  <c r="AK15" i="6"/>
  <c r="R15" i="6"/>
  <c r="R21" i="6"/>
  <c r="P13" i="33"/>
  <c r="AU14" i="6"/>
  <c r="AT14" i="6"/>
  <c r="AS14" i="6"/>
  <c r="AR14" i="6"/>
  <c r="AO14" i="6"/>
  <c r="AN14" i="6"/>
  <c r="AL14" i="6"/>
  <c r="AK14" i="6"/>
  <c r="R14" i="6"/>
  <c r="AU13" i="6"/>
  <c r="AT13" i="6"/>
  <c r="AR13" i="6"/>
  <c r="BC13" i="6" s="1"/>
  <c r="AO13" i="6"/>
  <c r="AN13" i="6"/>
  <c r="AL13" i="6"/>
  <c r="AK13" i="6"/>
  <c r="AG13" i="6"/>
  <c r="R13" i="6"/>
  <c r="AU12" i="6"/>
  <c r="AT12" i="6"/>
  <c r="AT21" i="6" s="1"/>
  <c r="AR13" i="33" s="1"/>
  <c r="AR12" i="6"/>
  <c r="AO12" i="6"/>
  <c r="AO22" i="6" s="1"/>
  <c r="AM13" i="34" s="1"/>
  <c r="AN12" i="6"/>
  <c r="AL12" i="6"/>
  <c r="AK12" i="6"/>
  <c r="AG12" i="6"/>
  <c r="R12" i="6"/>
  <c r="AY18" i="20"/>
  <c r="CG18" i="20" s="1"/>
  <c r="AR18" i="20"/>
  <c r="AO18" i="20"/>
  <c r="AN18" i="20"/>
  <c r="AM18" i="20"/>
  <c r="AL18" i="20"/>
  <c r="AK18" i="20"/>
  <c r="AJ18" i="20"/>
  <c r="X18" i="20"/>
  <c r="R18" i="20"/>
  <c r="E18" i="20"/>
  <c r="AY17" i="20"/>
  <c r="CG17" i="20" s="1"/>
  <c r="AR17" i="20"/>
  <c r="AO17" i="20"/>
  <c r="AN17" i="20"/>
  <c r="AM17" i="20"/>
  <c r="AL17" i="20"/>
  <c r="AK17" i="20"/>
  <c r="AJ17" i="20"/>
  <c r="X17" i="20"/>
  <c r="R17" i="20"/>
  <c r="AY16" i="20"/>
  <c r="CG16" i="20" s="1"/>
  <c r="AR16" i="20"/>
  <c r="AO16" i="20"/>
  <c r="AN16" i="20"/>
  <c r="AM16" i="20"/>
  <c r="AL16" i="20"/>
  <c r="AL21" i="20" s="1"/>
  <c r="AJ12" i="33" s="1"/>
  <c r="AK16" i="20"/>
  <c r="AJ16" i="20"/>
  <c r="AG16" i="20"/>
  <c r="X16" i="20"/>
  <c r="R16" i="20"/>
  <c r="E16" i="20"/>
  <c r="AY15" i="20"/>
  <c r="CG15" i="20" s="1"/>
  <c r="AR15" i="20"/>
  <c r="BC15" i="20" s="1"/>
  <c r="AO15" i="20"/>
  <c r="AO22" i="20" s="1"/>
  <c r="AM12" i="34" s="1"/>
  <c r="AN15" i="20"/>
  <c r="AM15" i="20"/>
  <c r="AL15" i="20"/>
  <c r="AK15" i="20"/>
  <c r="AJ15" i="20"/>
  <c r="AG15" i="20"/>
  <c r="X15" i="20"/>
  <c r="U15" i="20"/>
  <c r="U22" i="20"/>
  <c r="S12" i="34" s="1"/>
  <c r="R15" i="20"/>
  <c r="E15" i="20"/>
  <c r="AY14" i="20"/>
  <c r="CG14" i="20" s="1"/>
  <c r="AR14" i="20"/>
  <c r="BC14" i="20" s="1"/>
  <c r="AO14" i="20"/>
  <c r="AN14" i="20"/>
  <c r="AM14" i="20"/>
  <c r="AL14" i="20"/>
  <c r="AL22" i="20"/>
  <c r="AJ12" i="34"/>
  <c r="AK14" i="20"/>
  <c r="AJ14" i="20"/>
  <c r="AI14" i="20"/>
  <c r="AI22" i="20"/>
  <c r="AG12" i="34" s="1"/>
  <c r="AG14" i="20"/>
  <c r="X14" i="20"/>
  <c r="U14" i="20"/>
  <c r="R14" i="20"/>
  <c r="Q14" i="20"/>
  <c r="E14" i="20"/>
  <c r="AY13" i="20"/>
  <c r="CG13" i="20" s="1"/>
  <c r="AR13" i="20"/>
  <c r="BC13" i="20" s="1"/>
  <c r="AO13" i="20"/>
  <c r="AN13" i="20"/>
  <c r="AM13" i="20"/>
  <c r="AL13" i="20"/>
  <c r="AK13" i="20"/>
  <c r="AJ13" i="20"/>
  <c r="AI13" i="20"/>
  <c r="AG13" i="20"/>
  <c r="X13" i="20"/>
  <c r="X21" i="20"/>
  <c r="V12" i="33" s="1"/>
  <c r="U13" i="20"/>
  <c r="R13" i="20"/>
  <c r="Q13" i="20"/>
  <c r="E13" i="20"/>
  <c r="AY12" i="20"/>
  <c r="AR12" i="20"/>
  <c r="AO12" i="20"/>
  <c r="AN12" i="20"/>
  <c r="AM12" i="20"/>
  <c r="AL12" i="20"/>
  <c r="AK12" i="20"/>
  <c r="AK22" i="20"/>
  <c r="AI12" i="34" s="1"/>
  <c r="AJ12" i="20"/>
  <c r="AG12" i="20"/>
  <c r="AG22" i="20" s="1"/>
  <c r="AE12" i="34" s="1"/>
  <c r="X12" i="20"/>
  <c r="R12" i="20"/>
  <c r="R21" i="20"/>
  <c r="P12" i="33"/>
  <c r="Q12" i="20"/>
  <c r="BX12" i="20" s="1"/>
  <c r="E12" i="20"/>
  <c r="E22" i="20" s="1"/>
  <c r="C12" i="34" s="1"/>
  <c r="AR18" i="24"/>
  <c r="AO18" i="24"/>
  <c r="AN18" i="24"/>
  <c r="AL18" i="24"/>
  <c r="AK18" i="24"/>
  <c r="R18" i="24"/>
  <c r="F18" i="24"/>
  <c r="E18" i="24"/>
  <c r="BF18" i="24" s="1"/>
  <c r="AR17" i="24"/>
  <c r="AO17" i="24"/>
  <c r="AN17" i="24"/>
  <c r="AL17" i="24"/>
  <c r="AK17" i="24"/>
  <c r="U17" i="24"/>
  <c r="R17" i="24"/>
  <c r="F17" i="24"/>
  <c r="BS17" i="24"/>
  <c r="E17" i="24"/>
  <c r="AR16" i="24"/>
  <c r="AO16" i="24"/>
  <c r="AN16" i="24"/>
  <c r="AL16" i="24"/>
  <c r="AK16" i="24"/>
  <c r="R16" i="24"/>
  <c r="F16" i="24"/>
  <c r="BS16" i="24"/>
  <c r="E16" i="24"/>
  <c r="AR15" i="24"/>
  <c r="AO15" i="24"/>
  <c r="AN15" i="24"/>
  <c r="AL15" i="24"/>
  <c r="AK15" i="24"/>
  <c r="U15" i="24"/>
  <c r="R15" i="24"/>
  <c r="F15" i="24"/>
  <c r="E15" i="24"/>
  <c r="AR14" i="24"/>
  <c r="BC14" i="24" s="1"/>
  <c r="AO14" i="24"/>
  <c r="AN14" i="24"/>
  <c r="AL14" i="24"/>
  <c r="AL21" i="24" s="1"/>
  <c r="AJ11" i="33" s="1"/>
  <c r="AK14" i="24"/>
  <c r="U14" i="24"/>
  <c r="U21" i="24"/>
  <c r="S11" i="33"/>
  <c r="R14" i="24"/>
  <c r="F14" i="24"/>
  <c r="E14" i="24"/>
  <c r="E22" i="24"/>
  <c r="C11" i="34" s="1"/>
  <c r="AR13" i="24"/>
  <c r="BC13" i="24"/>
  <c r="AO13" i="24"/>
  <c r="AN13" i="24"/>
  <c r="AL13" i="24"/>
  <c r="AK13" i="24"/>
  <c r="R13" i="24"/>
  <c r="R21" i="24" s="1"/>
  <c r="P11" i="33" s="1"/>
  <c r="E13" i="24"/>
  <c r="AR12" i="24"/>
  <c r="BC12" i="24"/>
  <c r="AO12" i="24"/>
  <c r="AN12" i="24"/>
  <c r="AN22" i="24" s="1"/>
  <c r="AL11" i="34" s="1"/>
  <c r="AM12" i="24"/>
  <c r="AK12" i="24"/>
  <c r="AG12" i="24"/>
  <c r="AG22" i="24" s="1"/>
  <c r="AE11" i="34" s="1"/>
  <c r="AC12" i="24"/>
  <c r="Z12" i="24"/>
  <c r="U12" i="24"/>
  <c r="U22" i="24" s="1"/>
  <c r="S11" i="34"/>
  <c r="F12" i="24"/>
  <c r="F21" i="24" s="1"/>
  <c r="E12" i="24"/>
  <c r="AR18" i="25"/>
  <c r="AO18" i="25"/>
  <c r="AN18" i="25"/>
  <c r="AL18" i="25"/>
  <c r="AK18" i="25"/>
  <c r="U18" i="25"/>
  <c r="R18" i="25"/>
  <c r="L18" i="25"/>
  <c r="BM18" i="25"/>
  <c r="K18" i="25"/>
  <c r="F18" i="25"/>
  <c r="E18" i="25"/>
  <c r="AR17" i="25"/>
  <c r="BC17" i="25"/>
  <c r="AO17" i="25"/>
  <c r="AN17" i="25"/>
  <c r="AK17" i="25"/>
  <c r="R17" i="25"/>
  <c r="L17" i="25"/>
  <c r="K17" i="25"/>
  <c r="F17" i="25"/>
  <c r="E17" i="25"/>
  <c r="BF17" i="25"/>
  <c r="AR16" i="25"/>
  <c r="AO16" i="25"/>
  <c r="AN16" i="25"/>
  <c r="AL16" i="25"/>
  <c r="AK16" i="25"/>
  <c r="U16" i="25"/>
  <c r="R16" i="25"/>
  <c r="L16" i="25"/>
  <c r="K16" i="25"/>
  <c r="F16" i="25"/>
  <c r="E16" i="25"/>
  <c r="AR15" i="25"/>
  <c r="BC15" i="25" s="1"/>
  <c r="AO15" i="25"/>
  <c r="AN15" i="25"/>
  <c r="AL15" i="25"/>
  <c r="AK15" i="25"/>
  <c r="AK21" i="25"/>
  <c r="AI10" i="33" s="1"/>
  <c r="AG15" i="25"/>
  <c r="AC15" i="25"/>
  <c r="Z15" i="25"/>
  <c r="X15" i="25"/>
  <c r="V15" i="25"/>
  <c r="U15" i="25"/>
  <c r="R15" i="25"/>
  <c r="N15" i="25"/>
  <c r="BW15" i="25"/>
  <c r="L15" i="25"/>
  <c r="L22" i="25" s="1"/>
  <c r="J10" i="34" s="1"/>
  <c r="F15" i="25"/>
  <c r="E15" i="25"/>
  <c r="AR14" i="25"/>
  <c r="AP14" i="25"/>
  <c r="AO14" i="25"/>
  <c r="AN14" i="25"/>
  <c r="AL14" i="25"/>
  <c r="AK14" i="25"/>
  <c r="AG14" i="25"/>
  <c r="AG21" i="25" s="1"/>
  <c r="AE10" i="33" s="1"/>
  <c r="Z14" i="25"/>
  <c r="X14" i="25"/>
  <c r="V14" i="25"/>
  <c r="U14" i="25"/>
  <c r="R14" i="25"/>
  <c r="L14" i="25"/>
  <c r="F14" i="25"/>
  <c r="E14" i="25"/>
  <c r="AR13" i="25"/>
  <c r="AO13" i="25"/>
  <c r="AN13" i="25"/>
  <c r="AL13" i="25"/>
  <c r="AK13" i="25"/>
  <c r="AG13" i="25"/>
  <c r="AC13" i="25"/>
  <c r="Z13" i="25"/>
  <c r="V13" i="25"/>
  <c r="U13" i="25"/>
  <c r="S13" i="25"/>
  <c r="R13" i="25"/>
  <c r="L13" i="25"/>
  <c r="F13" i="25"/>
  <c r="E13" i="25"/>
  <c r="AR12" i="25"/>
  <c r="AR22" i="25" s="1"/>
  <c r="AP10" i="34" s="1"/>
  <c r="AO12" i="25"/>
  <c r="AN12" i="25"/>
  <c r="AM12" i="25"/>
  <c r="AL12" i="25"/>
  <c r="AK12" i="25"/>
  <c r="AJ12" i="25"/>
  <c r="AJ22" i="25"/>
  <c r="AH10" i="34" s="1"/>
  <c r="AG12" i="25"/>
  <c r="AC12" i="25"/>
  <c r="Z12" i="25"/>
  <c r="X12" i="25"/>
  <c r="X22" i="25" s="1"/>
  <c r="V10" i="34"/>
  <c r="V12" i="25"/>
  <c r="U12" i="25"/>
  <c r="U21" i="25" s="1"/>
  <c r="S10" i="33" s="1"/>
  <c r="R12" i="25"/>
  <c r="N12" i="25"/>
  <c r="N21" i="25"/>
  <c r="L10" i="33"/>
  <c r="BU10" i="33" s="1"/>
  <c r="L12" i="25"/>
  <c r="F12" i="25"/>
  <c r="E12" i="25"/>
  <c r="AR18" i="22"/>
  <c r="BC18" i="22" s="1"/>
  <c r="AO18" i="22"/>
  <c r="AN18" i="22"/>
  <c r="AL18" i="22"/>
  <c r="AL22" i="22" s="1"/>
  <c r="AJ9" i="34" s="1"/>
  <c r="AK18" i="22"/>
  <c r="R18" i="22"/>
  <c r="F18" i="22"/>
  <c r="E18" i="22"/>
  <c r="BF18" i="22"/>
  <c r="AR17" i="22"/>
  <c r="AO17" i="22"/>
  <c r="AN17" i="22"/>
  <c r="AL17" i="22"/>
  <c r="AK17" i="22"/>
  <c r="R17" i="22"/>
  <c r="F17" i="22"/>
  <c r="E17" i="22"/>
  <c r="BF17" i="22"/>
  <c r="AR16" i="22"/>
  <c r="AN16" i="22"/>
  <c r="AL16" i="22"/>
  <c r="AK16" i="22"/>
  <c r="R16" i="22"/>
  <c r="F16" i="22"/>
  <c r="E16" i="22"/>
  <c r="AR15" i="22"/>
  <c r="BC15" i="22"/>
  <c r="AO15" i="22"/>
  <c r="AN15" i="22"/>
  <c r="AL15" i="22"/>
  <c r="AK15" i="22"/>
  <c r="R15" i="22"/>
  <c r="E15" i="22"/>
  <c r="AR14" i="22"/>
  <c r="AO14" i="22"/>
  <c r="AN14" i="22"/>
  <c r="AL14" i="22"/>
  <c r="AK14" i="22"/>
  <c r="AC14" i="22"/>
  <c r="R14" i="22"/>
  <c r="F14" i="22"/>
  <c r="E14" i="22"/>
  <c r="AR13" i="22"/>
  <c r="BC13" i="22" s="1"/>
  <c r="AO13" i="22"/>
  <c r="AN13" i="22"/>
  <c r="AL13" i="22"/>
  <c r="AK13" i="22"/>
  <c r="R13" i="22"/>
  <c r="F13" i="22"/>
  <c r="E13" i="22"/>
  <c r="AR12" i="22"/>
  <c r="AR21" i="22" s="1"/>
  <c r="AP9" i="33" s="1"/>
  <c r="AO12" i="22"/>
  <c r="AN12" i="22"/>
  <c r="AM12" i="22"/>
  <c r="AL12" i="22"/>
  <c r="AK12" i="22"/>
  <c r="AG12" i="22"/>
  <c r="AC12" i="22"/>
  <c r="AC22" i="22" s="1"/>
  <c r="AA9" i="34" s="1"/>
  <c r="R12" i="22"/>
  <c r="R22" i="22"/>
  <c r="P9" i="34" s="1"/>
  <c r="N12" i="22"/>
  <c r="F12" i="22"/>
  <c r="E12" i="22"/>
  <c r="AK18" i="4"/>
  <c r="R18" i="4"/>
  <c r="AO17" i="4"/>
  <c r="AN17" i="4"/>
  <c r="AN22" i="4" s="1"/>
  <c r="AL8" i="34" s="1"/>
  <c r="AK17" i="4"/>
  <c r="R17" i="4"/>
  <c r="AO16" i="4"/>
  <c r="AK16" i="4"/>
  <c r="R16" i="4"/>
  <c r="AO15" i="4"/>
  <c r="AN15" i="4"/>
  <c r="AK15" i="4"/>
  <c r="R15" i="4"/>
  <c r="AO14" i="4"/>
  <c r="AN14" i="4"/>
  <c r="AL14" i="4"/>
  <c r="AL21" i="4" s="1"/>
  <c r="AJ8" i="33" s="1"/>
  <c r="AK14" i="4"/>
  <c r="R14" i="4"/>
  <c r="AO13" i="4"/>
  <c r="AN13" i="4"/>
  <c r="AK13" i="4"/>
  <c r="R13" i="4"/>
  <c r="AO12" i="4"/>
  <c r="AK12" i="4"/>
  <c r="R12" i="4"/>
  <c r="AO18" i="3"/>
  <c r="AN18" i="3"/>
  <c r="AL18" i="3"/>
  <c r="AK18" i="3"/>
  <c r="AG18" i="3"/>
  <c r="AD18" i="3"/>
  <c r="X18" i="3"/>
  <c r="R18" i="3"/>
  <c r="E18" i="3"/>
  <c r="AO17" i="3"/>
  <c r="AN17" i="3"/>
  <c r="AM17" i="3"/>
  <c r="AL17" i="3"/>
  <c r="AK17" i="3"/>
  <c r="AG17" i="3"/>
  <c r="X17" i="3"/>
  <c r="R17" i="3"/>
  <c r="E17" i="3"/>
  <c r="AO16" i="3"/>
  <c r="AL16" i="3"/>
  <c r="AK16" i="3"/>
  <c r="AG16" i="3"/>
  <c r="X16" i="3"/>
  <c r="R16" i="3"/>
  <c r="E16" i="3"/>
  <c r="AO15" i="3"/>
  <c r="AN15" i="3"/>
  <c r="AL15" i="3"/>
  <c r="AK15" i="3"/>
  <c r="AG15" i="3"/>
  <c r="AD15" i="3"/>
  <c r="R15" i="3"/>
  <c r="E15" i="3"/>
  <c r="AO14" i="3"/>
  <c r="AN14" i="3"/>
  <c r="AL14" i="3"/>
  <c r="AK14" i="3"/>
  <c r="AJ14" i="3"/>
  <c r="AG14" i="3"/>
  <c r="AD14" i="3"/>
  <c r="X14" i="3"/>
  <c r="X21" i="3" s="1"/>
  <c r="V7" i="33" s="1"/>
  <c r="R14" i="3"/>
  <c r="E14" i="3"/>
  <c r="AO13" i="3"/>
  <c r="AN13" i="3"/>
  <c r="AM13" i="3"/>
  <c r="AL13" i="3"/>
  <c r="AK13" i="3"/>
  <c r="AK21" i="3" s="1"/>
  <c r="AI7" i="33" s="1"/>
  <c r="AJ13" i="3"/>
  <c r="AI13" i="3"/>
  <c r="AH13" i="3"/>
  <c r="AG13" i="3"/>
  <c r="AG21" i="3"/>
  <c r="AE7" i="33" s="1"/>
  <c r="AD13" i="3"/>
  <c r="X13" i="3"/>
  <c r="U13" i="3"/>
  <c r="R13" i="3"/>
  <c r="Q13" i="3"/>
  <c r="N13" i="3"/>
  <c r="E13" i="3"/>
  <c r="AO12" i="3"/>
  <c r="AO21" i="3"/>
  <c r="AM7" i="33" s="1"/>
  <c r="AN12" i="3"/>
  <c r="AM12" i="3"/>
  <c r="AM22" i="3" s="1"/>
  <c r="AK7" i="34" s="1"/>
  <c r="AL12" i="3"/>
  <c r="AL22" i="3" s="1"/>
  <c r="AJ7" i="34" s="1"/>
  <c r="AK12" i="3"/>
  <c r="AJ12" i="3"/>
  <c r="AG12" i="3"/>
  <c r="AD12" i="3"/>
  <c r="AD22" i="3" s="1"/>
  <c r="AB7" i="34" s="1"/>
  <c r="X12" i="3"/>
  <c r="R12" i="3"/>
  <c r="R22" i="3" s="1"/>
  <c r="P7" i="34" s="1"/>
  <c r="E12" i="3"/>
  <c r="AO18" i="1"/>
  <c r="AN18" i="1"/>
  <c r="AL18" i="1"/>
  <c r="AK18" i="1"/>
  <c r="AI18" i="1"/>
  <c r="AG18" i="1"/>
  <c r="AD18" i="1"/>
  <c r="X18" i="1"/>
  <c r="R18" i="1"/>
  <c r="E18" i="1"/>
  <c r="AO17" i="1"/>
  <c r="AN17" i="1"/>
  <c r="AL17" i="1"/>
  <c r="AK17" i="1"/>
  <c r="AG17" i="1"/>
  <c r="X17" i="1"/>
  <c r="R17" i="1"/>
  <c r="R22" i="1" s="1"/>
  <c r="P6" i="34" s="1"/>
  <c r="E17" i="1"/>
  <c r="AO16" i="1"/>
  <c r="AN16" i="1"/>
  <c r="AN21" i="1"/>
  <c r="AL6" i="33" s="1"/>
  <c r="AL16" i="1"/>
  <c r="AK16" i="1"/>
  <c r="AG16" i="1"/>
  <c r="AD16" i="1"/>
  <c r="X16" i="1"/>
  <c r="R16" i="1"/>
  <c r="E16" i="1"/>
  <c r="AO15" i="1"/>
  <c r="AN15" i="1"/>
  <c r="AL15" i="1"/>
  <c r="AK15" i="1"/>
  <c r="AG15" i="1"/>
  <c r="AD15" i="1"/>
  <c r="X15" i="1"/>
  <c r="R15" i="1"/>
  <c r="E15" i="1"/>
  <c r="BF15" i="1"/>
  <c r="AO14" i="1"/>
  <c r="AN14" i="1"/>
  <c r="AL14" i="1"/>
  <c r="AK14" i="1"/>
  <c r="AH14" i="1"/>
  <c r="AG14" i="1"/>
  <c r="AD14" i="1"/>
  <c r="X14" i="1"/>
  <c r="R14" i="1"/>
  <c r="Q14" i="1"/>
  <c r="E14" i="1"/>
  <c r="BF14" i="1" s="1"/>
  <c r="AO13" i="1"/>
  <c r="AO22" i="1"/>
  <c r="AM6" i="34" s="1"/>
  <c r="AN13" i="1"/>
  <c r="AL13" i="1"/>
  <c r="AK13" i="1"/>
  <c r="AG13" i="1"/>
  <c r="AD13" i="1"/>
  <c r="X13" i="1"/>
  <c r="R13" i="1"/>
  <c r="E13" i="1"/>
  <c r="BF13" i="1"/>
  <c r="AO12" i="1"/>
  <c r="AN12" i="1"/>
  <c r="AL12" i="1"/>
  <c r="AL22" i="1" s="1"/>
  <c r="AJ6" i="34" s="1"/>
  <c r="AK12" i="1"/>
  <c r="AK22" i="1"/>
  <c r="AI6" i="34" s="1"/>
  <c r="AG12" i="1"/>
  <c r="AD12" i="1"/>
  <c r="AD22" i="1" s="1"/>
  <c r="AB6" i="34" s="1"/>
  <c r="X12" i="1"/>
  <c r="X21" i="1" s="1"/>
  <c r="V6" i="33" s="1"/>
  <c r="R12" i="1"/>
  <c r="E12" i="1"/>
  <c r="AO18" i="12"/>
  <c r="AN18" i="12"/>
  <c r="AL18" i="12"/>
  <c r="AG18" i="12"/>
  <c r="X18" i="12"/>
  <c r="U18" i="12"/>
  <c r="R18" i="12"/>
  <c r="Q18" i="12"/>
  <c r="BX18" i="12"/>
  <c r="N18" i="12"/>
  <c r="K18" i="12"/>
  <c r="F18" i="12"/>
  <c r="BS18" i="12"/>
  <c r="E18" i="12"/>
  <c r="BF18" i="12"/>
  <c r="AO17" i="12"/>
  <c r="AN17" i="12"/>
  <c r="AL17" i="12"/>
  <c r="X17" i="12"/>
  <c r="U17" i="12"/>
  <c r="Q17" i="12"/>
  <c r="E17" i="12"/>
  <c r="AO16" i="12"/>
  <c r="AN16" i="12"/>
  <c r="AN22" i="12" s="1"/>
  <c r="AL5" i="34" s="1"/>
  <c r="AL16" i="12"/>
  <c r="X16" i="12"/>
  <c r="Q16" i="12"/>
  <c r="BX16" i="12"/>
  <c r="E16" i="12"/>
  <c r="AO15" i="12"/>
  <c r="AN15" i="12"/>
  <c r="AL15" i="12"/>
  <c r="AG15" i="12"/>
  <c r="X15" i="12"/>
  <c r="U15" i="12"/>
  <c r="Q15" i="12"/>
  <c r="N15" i="12"/>
  <c r="K15" i="12"/>
  <c r="E15" i="12"/>
  <c r="BF15" i="12"/>
  <c r="AO14" i="12"/>
  <c r="AN14" i="12"/>
  <c r="AL14" i="12"/>
  <c r="AG14" i="12"/>
  <c r="X14" i="12"/>
  <c r="U14" i="12"/>
  <c r="R14" i="12"/>
  <c r="R21" i="12" s="1"/>
  <c r="P5" i="33" s="1"/>
  <c r="Q14" i="12"/>
  <c r="BX14" i="12"/>
  <c r="N14" i="12"/>
  <c r="BW14" i="12"/>
  <c r="F14" i="12"/>
  <c r="E14" i="12"/>
  <c r="AO13" i="12"/>
  <c r="AO22" i="12"/>
  <c r="AM5" i="34" s="1"/>
  <c r="AN13" i="12"/>
  <c r="AL13" i="12"/>
  <c r="AG13" i="12"/>
  <c r="X13" i="12"/>
  <c r="X22" i="12" s="1"/>
  <c r="V5" i="34" s="1"/>
  <c r="R13" i="12"/>
  <c r="Q13" i="12"/>
  <c r="N13" i="12"/>
  <c r="K13" i="12"/>
  <c r="K21" i="12" s="1"/>
  <c r="E13" i="12"/>
  <c r="BF13" i="12"/>
  <c r="BN13" i="12" s="1"/>
  <c r="BL49" i="33" s="1"/>
  <c r="AO12" i="12"/>
  <c r="AN12" i="12"/>
  <c r="AL12" i="12"/>
  <c r="AL21" i="12" s="1"/>
  <c r="AJ5" i="33" s="1"/>
  <c r="AG12" i="12"/>
  <c r="AG22" i="12"/>
  <c r="AE5" i="34"/>
  <c r="X12" i="12"/>
  <c r="R12" i="12"/>
  <c r="Q12" i="12"/>
  <c r="Q22" i="12"/>
  <c r="O5" i="34" s="1"/>
  <c r="E12" i="12"/>
  <c r="E22" i="12"/>
  <c r="C5" i="34" s="1"/>
  <c r="AO18" i="10"/>
  <c r="AN18" i="10"/>
  <c r="AM18" i="10"/>
  <c r="AL18" i="10"/>
  <c r="AG18" i="10"/>
  <c r="Y18" i="10"/>
  <c r="X18" i="10"/>
  <c r="U18" i="10"/>
  <c r="R18" i="10"/>
  <c r="Q18" i="10"/>
  <c r="N18" i="10"/>
  <c r="M18" i="10"/>
  <c r="K18" i="10"/>
  <c r="F18" i="10"/>
  <c r="E18" i="10"/>
  <c r="AO17" i="10"/>
  <c r="AN17" i="10"/>
  <c r="AL17" i="10"/>
  <c r="AG17" i="10"/>
  <c r="Y17" i="10"/>
  <c r="X17" i="10"/>
  <c r="U17" i="10"/>
  <c r="R17" i="10"/>
  <c r="Q17" i="10"/>
  <c r="M17" i="10"/>
  <c r="K17" i="10"/>
  <c r="E17" i="10"/>
  <c r="AO16" i="10"/>
  <c r="AN16" i="10"/>
  <c r="AL16" i="10"/>
  <c r="AG16" i="10"/>
  <c r="X16" i="10"/>
  <c r="U16" i="10"/>
  <c r="R16" i="10"/>
  <c r="Q16" i="10"/>
  <c r="K16" i="10"/>
  <c r="BL16" i="10"/>
  <c r="E16" i="10"/>
  <c r="AO15" i="10"/>
  <c r="AN15" i="10"/>
  <c r="AM15" i="10"/>
  <c r="AM22" i="10" s="1"/>
  <c r="AK4" i="34" s="1"/>
  <c r="AL15" i="10"/>
  <c r="AG15" i="10"/>
  <c r="Y15" i="10"/>
  <c r="Y22" i="10" s="1"/>
  <c r="W4" i="34" s="1"/>
  <c r="X15" i="10"/>
  <c r="U15" i="10"/>
  <c r="R15" i="10"/>
  <c r="Q15" i="10"/>
  <c r="N15" i="10"/>
  <c r="M15" i="10"/>
  <c r="K15" i="10"/>
  <c r="E15" i="10"/>
  <c r="AO14" i="10"/>
  <c r="AO22" i="10" s="1"/>
  <c r="AM4" i="34" s="1"/>
  <c r="AN14" i="10"/>
  <c r="AL14" i="10"/>
  <c r="AG14" i="10"/>
  <c r="Y14" i="10"/>
  <c r="X14" i="10"/>
  <c r="U14" i="10"/>
  <c r="R14" i="10"/>
  <c r="Q14" i="10"/>
  <c r="BX14" i="10"/>
  <c r="K14" i="10"/>
  <c r="E14" i="10"/>
  <c r="AO13" i="10"/>
  <c r="AN13" i="10"/>
  <c r="AL13" i="10"/>
  <c r="AK13" i="10"/>
  <c r="AG13" i="10"/>
  <c r="Y13" i="10"/>
  <c r="X13" i="10"/>
  <c r="U13" i="10"/>
  <c r="U22" i="10" s="1"/>
  <c r="S4" i="34" s="1"/>
  <c r="R13" i="10"/>
  <c r="Q13" i="10"/>
  <c r="N13" i="10"/>
  <c r="M13" i="10"/>
  <c r="M22" i="10" s="1"/>
  <c r="K4" i="34" s="1"/>
  <c r="K13" i="10"/>
  <c r="J13" i="10"/>
  <c r="BK13" i="10"/>
  <c r="H13" i="10"/>
  <c r="E13" i="10"/>
  <c r="AO12" i="10"/>
  <c r="AN12" i="10"/>
  <c r="AN22" i="10"/>
  <c r="AL4" i="34" s="1"/>
  <c r="AL12" i="10"/>
  <c r="AG12" i="10"/>
  <c r="Q12" i="10"/>
  <c r="M12" i="10"/>
  <c r="K12" i="10"/>
  <c r="E12" i="10"/>
  <c r="AS18" i="5"/>
  <c r="AQ18" i="5"/>
  <c r="AO18" i="5"/>
  <c r="AN18" i="5"/>
  <c r="AM18" i="5"/>
  <c r="AL18" i="5"/>
  <c r="AK18" i="5"/>
  <c r="AJ18" i="5"/>
  <c r="AI18" i="5"/>
  <c r="AG18" i="5"/>
  <c r="Y18" i="5"/>
  <c r="X18" i="5"/>
  <c r="R18" i="5"/>
  <c r="L18" i="5"/>
  <c r="BN18" i="5" s="1"/>
  <c r="E18" i="5"/>
  <c r="BG18" i="5" s="1"/>
  <c r="AZ17" i="5"/>
  <c r="CH17" i="5" s="1"/>
  <c r="AZ22" i="5"/>
  <c r="AX3" i="34"/>
  <c r="AS17" i="5"/>
  <c r="AQ17" i="5"/>
  <c r="AO17" i="5"/>
  <c r="AN17" i="5"/>
  <c r="AN22" i="5" s="1"/>
  <c r="AL3" i="34" s="1"/>
  <c r="AL17" i="5"/>
  <c r="AK17" i="5"/>
  <c r="AG17" i="5"/>
  <c r="R17" i="5"/>
  <c r="L17" i="5"/>
  <c r="BN17" i="5" s="1"/>
  <c r="E17" i="5"/>
  <c r="BG17" i="5" s="1"/>
  <c r="AS16" i="5"/>
  <c r="BD16" i="5"/>
  <c r="AQ16" i="5"/>
  <c r="AO16" i="5"/>
  <c r="AN16" i="5"/>
  <c r="AK16" i="5"/>
  <c r="AK21" i="5" s="1"/>
  <c r="AI3" i="33" s="1"/>
  <c r="AJ16" i="5"/>
  <c r="AG16" i="5"/>
  <c r="Y16" i="5"/>
  <c r="X16" i="5"/>
  <c r="R16" i="5"/>
  <c r="L16" i="5"/>
  <c r="BN16" i="5" s="1"/>
  <c r="E16" i="5"/>
  <c r="AS15" i="5"/>
  <c r="AQ15" i="5"/>
  <c r="AO15" i="5"/>
  <c r="AN15" i="5"/>
  <c r="AL15" i="5"/>
  <c r="AK15" i="5"/>
  <c r="AJ15" i="5"/>
  <c r="AI15" i="5"/>
  <c r="AG15" i="5"/>
  <c r="AE15" i="5"/>
  <c r="Y15" i="5"/>
  <c r="X15" i="5"/>
  <c r="U15" i="5"/>
  <c r="R15" i="5"/>
  <c r="L15" i="5"/>
  <c r="BN15" i="5" s="1"/>
  <c r="E15" i="5"/>
  <c r="BG15" i="5" s="1"/>
  <c r="AS14" i="5"/>
  <c r="BD14" i="5"/>
  <c r="AR14" i="5"/>
  <c r="AQ14" i="5"/>
  <c r="AO14" i="5"/>
  <c r="AN14" i="5"/>
  <c r="AL14" i="5"/>
  <c r="AL21" i="5" s="1"/>
  <c r="AJ3" i="33" s="1"/>
  <c r="AK14" i="5"/>
  <c r="AJ14" i="5"/>
  <c r="AI14" i="5"/>
  <c r="AG14" i="5"/>
  <c r="AE14" i="5"/>
  <c r="AE22" i="5" s="1"/>
  <c r="AC3" i="34" s="1"/>
  <c r="Y14" i="5"/>
  <c r="X14" i="5"/>
  <c r="W14" i="5"/>
  <c r="BZ14" i="5" s="1"/>
  <c r="U14" i="5"/>
  <c r="S14" i="5"/>
  <c r="CA14" i="5" s="1"/>
  <c r="R14" i="5"/>
  <c r="R22" i="5" s="1"/>
  <c r="P3" i="34" s="1"/>
  <c r="L14" i="5"/>
  <c r="BN14" i="5" s="1"/>
  <c r="E14" i="5"/>
  <c r="BG14" i="5" s="1"/>
  <c r="AS13" i="5"/>
  <c r="BD13" i="5" s="1"/>
  <c r="AQ13" i="5"/>
  <c r="AO13" i="5"/>
  <c r="AN13" i="5"/>
  <c r="AL13" i="5"/>
  <c r="AK13" i="5"/>
  <c r="AJ13" i="5"/>
  <c r="AI13" i="5"/>
  <c r="AG13" i="5"/>
  <c r="Y13" i="5"/>
  <c r="Y21" i="5"/>
  <c r="W3" i="33" s="1"/>
  <c r="X13" i="5"/>
  <c r="R13" i="5"/>
  <c r="R21" i="5" s="1"/>
  <c r="P3" i="33" s="1"/>
  <c r="L13" i="5"/>
  <c r="BN13" i="5" s="1"/>
  <c r="E13" i="5"/>
  <c r="BG13" i="5" s="1"/>
  <c r="BO13" i="5" s="1"/>
  <c r="AS12" i="5"/>
  <c r="BD12" i="5"/>
  <c r="AR12" i="5"/>
  <c r="AR22" i="5" s="1"/>
  <c r="AP3" i="34" s="1"/>
  <c r="AQ12" i="5"/>
  <c r="AO12" i="5"/>
  <c r="AO21" i="5"/>
  <c r="AM3" i="33" s="1"/>
  <c r="AN12" i="5"/>
  <c r="AL12" i="5"/>
  <c r="AK12" i="5"/>
  <c r="AJ12" i="5"/>
  <c r="AJ22" i="5" s="1"/>
  <c r="AH3" i="34" s="1"/>
  <c r="AI12" i="5"/>
  <c r="AI22" i="5"/>
  <c r="AG3" i="34" s="1"/>
  <c r="AG12" i="5"/>
  <c r="Y12" i="5"/>
  <c r="X12" i="5"/>
  <c r="X22" i="5" s="1"/>
  <c r="V3" i="34" s="1"/>
  <c r="U12" i="5"/>
  <c r="U21" i="5"/>
  <c r="S3" i="33" s="1"/>
  <c r="L12" i="5"/>
  <c r="E12" i="5"/>
  <c r="BG12" i="5" s="1"/>
  <c r="AY18" i="31"/>
  <c r="CG18" i="31" s="1"/>
  <c r="AO18" i="31"/>
  <c r="AK18" i="31"/>
  <c r="AJ18" i="31"/>
  <c r="Y18" i="31"/>
  <c r="X18" i="31"/>
  <c r="AY17" i="31"/>
  <c r="BD17" i="31" s="1"/>
  <c r="AO17" i="31"/>
  <c r="AL17" i="31"/>
  <c r="AK17" i="31"/>
  <c r="X17" i="31"/>
  <c r="AY16" i="31"/>
  <c r="AO16" i="31"/>
  <c r="AL16" i="31"/>
  <c r="AK16" i="31"/>
  <c r="Y16" i="31"/>
  <c r="X16" i="31"/>
  <c r="AY15" i="31"/>
  <c r="CG15" i="31" s="1"/>
  <c r="AP15" i="31"/>
  <c r="AO15" i="31"/>
  <c r="AM15" i="31"/>
  <c r="AK15" i="31"/>
  <c r="AJ15" i="31"/>
  <c r="AI15" i="31"/>
  <c r="AI22" i="31"/>
  <c r="AG2" i="34"/>
  <c r="AH15" i="31"/>
  <c r="AG15" i="31"/>
  <c r="AF15" i="31"/>
  <c r="AE15" i="31"/>
  <c r="AE22" i="31"/>
  <c r="AC2" i="34" s="1"/>
  <c r="AC15" i="31"/>
  <c r="AB15" i="31"/>
  <c r="AA15" i="31"/>
  <c r="Y15" i="31"/>
  <c r="X15" i="31"/>
  <c r="W15" i="31"/>
  <c r="U15" i="31"/>
  <c r="AY14" i="31"/>
  <c r="CG14" i="31" s="1"/>
  <c r="AO14" i="31"/>
  <c r="AL14" i="31"/>
  <c r="AK14" i="31"/>
  <c r="Y14" i="31"/>
  <c r="X14" i="31"/>
  <c r="AY13" i="31"/>
  <c r="CG13" i="31" s="1"/>
  <c r="AO13" i="31"/>
  <c r="AL13" i="31"/>
  <c r="AK13" i="31"/>
  <c r="AJ13" i="31"/>
  <c r="AF13" i="31"/>
  <c r="Y13" i="31"/>
  <c r="AY12" i="31"/>
  <c r="CG12" i="31" s="1"/>
  <c r="AP12" i="31"/>
  <c r="AO12" i="31"/>
  <c r="AL12" i="31"/>
  <c r="AK12" i="31"/>
  <c r="AJ12" i="31"/>
  <c r="AJ22" i="31" s="1"/>
  <c r="AH2" i="34" s="1"/>
  <c r="AG12" i="31"/>
  <c r="AF12" i="31"/>
  <c r="AA12" i="31"/>
  <c r="Y12" i="31"/>
  <c r="X12" i="31"/>
  <c r="W12" i="31"/>
  <c r="V15" i="31"/>
  <c r="U13" i="31"/>
  <c r="T15" i="31"/>
  <c r="S18" i="31"/>
  <c r="S17" i="31"/>
  <c r="S14" i="31"/>
  <c r="S13" i="31"/>
  <c r="S12" i="31"/>
  <c r="R17" i="31"/>
  <c r="R16" i="31"/>
  <c r="R15" i="31"/>
  <c r="R14" i="31"/>
  <c r="R13" i="31"/>
  <c r="R12" i="31"/>
  <c r="R22" i="31" s="1"/>
  <c r="P2" i="34" s="1"/>
  <c r="N17" i="31"/>
  <c r="N16" i="31"/>
  <c r="N15" i="31"/>
  <c r="N14" i="31"/>
  <c r="N13" i="31"/>
  <c r="N22" i="31" s="1"/>
  <c r="L2" i="34" s="1"/>
  <c r="E15" i="31"/>
  <c r="BC14" i="6"/>
  <c r="BC8" i="6"/>
  <c r="BE20" i="5"/>
  <c r="BD20" i="5"/>
  <c r="BE19" i="5"/>
  <c r="BD19" i="5"/>
  <c r="BE18" i="5"/>
  <c r="BD18" i="5"/>
  <c r="BD17" i="5"/>
  <c r="BE16" i="5"/>
  <c r="BE15" i="5"/>
  <c r="BD15" i="5"/>
  <c r="BE14" i="5"/>
  <c r="BE13" i="5"/>
  <c r="BE12" i="5"/>
  <c r="BE11" i="5"/>
  <c r="BD11" i="5"/>
  <c r="BE10" i="5"/>
  <c r="BD10" i="5"/>
  <c r="BE9" i="5"/>
  <c r="BD9" i="5"/>
  <c r="BE8" i="5"/>
  <c r="BD8" i="5"/>
  <c r="BE7" i="5"/>
  <c r="BD7" i="5"/>
  <c r="BD20" i="12"/>
  <c r="BC20" i="12"/>
  <c r="BD19" i="12"/>
  <c r="BC19" i="12"/>
  <c r="BD18" i="12"/>
  <c r="BC18" i="12"/>
  <c r="BD17" i="12"/>
  <c r="BC17" i="12"/>
  <c r="BD16" i="12"/>
  <c r="BC16" i="12"/>
  <c r="BD15" i="12"/>
  <c r="BC15" i="12"/>
  <c r="BD14" i="12"/>
  <c r="BC14" i="12"/>
  <c r="BD13" i="12"/>
  <c r="BC13" i="12"/>
  <c r="BD12" i="12"/>
  <c r="BC12" i="12"/>
  <c r="BD11" i="12"/>
  <c r="BC11" i="12"/>
  <c r="BD10" i="12"/>
  <c r="BC10" i="12"/>
  <c r="BD9" i="12"/>
  <c r="BC9" i="12"/>
  <c r="BD8" i="12"/>
  <c r="BC8" i="12"/>
  <c r="BD7" i="12"/>
  <c r="BC7" i="12"/>
  <c r="BD20" i="1"/>
  <c r="BC20" i="1"/>
  <c r="BD19" i="1"/>
  <c r="BC19" i="1"/>
  <c r="BD18" i="1"/>
  <c r="BC18" i="1"/>
  <c r="BD17" i="1"/>
  <c r="BC17" i="1"/>
  <c r="BD16" i="1"/>
  <c r="BC16" i="1"/>
  <c r="BD15" i="1"/>
  <c r="BC15" i="1"/>
  <c r="BD14" i="1"/>
  <c r="BC14" i="1"/>
  <c r="BD13" i="1"/>
  <c r="BC13" i="1"/>
  <c r="BD12" i="1"/>
  <c r="BC12" i="1"/>
  <c r="BD11" i="1"/>
  <c r="BC11" i="1"/>
  <c r="BD10" i="1"/>
  <c r="BC10" i="1"/>
  <c r="BD9" i="1"/>
  <c r="BC9" i="1"/>
  <c r="BD8" i="1"/>
  <c r="BC8" i="1"/>
  <c r="BD7" i="1"/>
  <c r="BC7" i="1"/>
  <c r="BD20" i="3"/>
  <c r="BC20" i="3"/>
  <c r="BD19" i="3"/>
  <c r="BC19" i="3"/>
  <c r="BD18" i="3"/>
  <c r="BC18" i="3"/>
  <c r="BD17" i="3"/>
  <c r="BC17" i="3"/>
  <c r="BD16" i="3"/>
  <c r="BC16" i="3"/>
  <c r="BD15" i="3"/>
  <c r="BC15" i="3"/>
  <c r="BD14" i="3"/>
  <c r="BC14" i="3"/>
  <c r="BD13" i="3"/>
  <c r="BC13" i="3"/>
  <c r="BD12" i="3"/>
  <c r="BC12" i="3"/>
  <c r="BD11" i="3"/>
  <c r="BC11" i="3"/>
  <c r="BD10" i="3"/>
  <c r="BC10" i="3"/>
  <c r="BD9" i="3"/>
  <c r="BC9" i="3"/>
  <c r="BD8" i="3"/>
  <c r="BC8" i="3"/>
  <c r="BD7" i="3"/>
  <c r="BC7" i="3"/>
  <c r="BD20" i="4"/>
  <c r="BC20" i="4"/>
  <c r="BD19" i="4"/>
  <c r="BC19" i="4"/>
  <c r="BD18" i="4"/>
  <c r="BC18" i="4"/>
  <c r="BD17" i="4"/>
  <c r="BC17" i="4"/>
  <c r="BD16" i="4"/>
  <c r="BC16" i="4"/>
  <c r="BD15" i="4"/>
  <c r="BC15" i="4"/>
  <c r="BD14" i="4"/>
  <c r="BC14" i="4"/>
  <c r="BD13" i="4"/>
  <c r="BC13" i="4"/>
  <c r="BD12" i="4"/>
  <c r="BC12" i="4"/>
  <c r="BD11" i="4"/>
  <c r="BC11" i="4"/>
  <c r="BD10" i="4"/>
  <c r="BC10" i="4"/>
  <c r="BD9" i="4"/>
  <c r="BC9" i="4"/>
  <c r="BD8" i="4"/>
  <c r="BC8" i="4"/>
  <c r="BD7" i="4"/>
  <c r="BC7" i="4"/>
  <c r="BD20" i="22"/>
  <c r="BC20" i="22"/>
  <c r="BD19" i="22"/>
  <c r="BC19" i="22"/>
  <c r="BD18" i="22"/>
  <c r="BD17" i="22"/>
  <c r="BC17" i="22"/>
  <c r="BD16" i="22"/>
  <c r="BC16" i="22"/>
  <c r="BD15" i="22"/>
  <c r="BD14" i="22"/>
  <c r="BC14" i="22"/>
  <c r="BD13" i="22"/>
  <c r="BD12" i="22"/>
  <c r="BD11" i="22"/>
  <c r="BC11" i="22"/>
  <c r="BD10" i="22"/>
  <c r="BC10" i="22"/>
  <c r="BD9" i="22"/>
  <c r="BC9" i="22"/>
  <c r="BD8" i="22"/>
  <c r="BC8" i="22"/>
  <c r="BD7" i="22"/>
  <c r="BC7" i="22"/>
  <c r="BD20" i="25"/>
  <c r="BC20" i="25"/>
  <c r="BD19" i="25"/>
  <c r="BC19" i="25"/>
  <c r="BD18" i="25"/>
  <c r="BC18" i="25"/>
  <c r="BD17" i="25"/>
  <c r="BD16" i="25"/>
  <c r="BC16" i="25"/>
  <c r="BD15" i="25"/>
  <c r="BD14" i="25"/>
  <c r="BD13" i="25"/>
  <c r="BC13" i="25"/>
  <c r="BD12" i="25"/>
  <c r="BC12" i="25"/>
  <c r="BD11" i="25"/>
  <c r="BC11" i="25"/>
  <c r="BD10" i="25"/>
  <c r="BC10" i="25"/>
  <c r="BD9" i="25"/>
  <c r="BC9" i="25"/>
  <c r="BD8" i="25"/>
  <c r="BC8" i="25"/>
  <c r="BD7" i="25"/>
  <c r="BC7" i="25"/>
  <c r="BD20" i="24"/>
  <c r="BC20" i="24"/>
  <c r="BD19" i="24"/>
  <c r="BC19" i="24"/>
  <c r="BD18" i="24"/>
  <c r="BC18" i="24"/>
  <c r="BD17" i="24"/>
  <c r="BC17" i="24"/>
  <c r="BD16" i="24"/>
  <c r="BC16" i="24"/>
  <c r="BD15" i="24"/>
  <c r="BC15" i="24"/>
  <c r="BD14" i="24"/>
  <c r="BD13" i="24"/>
  <c r="BD12" i="24"/>
  <c r="BD11" i="24"/>
  <c r="BC11" i="24"/>
  <c r="BD10" i="24"/>
  <c r="BC10" i="24"/>
  <c r="BD9" i="24"/>
  <c r="BC9" i="24"/>
  <c r="BD8" i="24"/>
  <c r="BC8" i="24"/>
  <c r="BD7" i="24"/>
  <c r="BC7" i="24"/>
  <c r="BD20" i="20"/>
  <c r="BC20" i="20"/>
  <c r="BD19" i="20"/>
  <c r="BC19" i="20"/>
  <c r="BD18" i="20"/>
  <c r="BC18" i="20"/>
  <c r="BD17" i="20"/>
  <c r="BC17" i="20"/>
  <c r="BD16" i="20"/>
  <c r="BC16" i="20"/>
  <c r="BD15" i="20"/>
  <c r="BD13" i="20"/>
  <c r="BD12" i="20"/>
  <c r="BC12" i="20"/>
  <c r="BD11" i="20"/>
  <c r="BC11" i="20"/>
  <c r="BD10" i="20"/>
  <c r="BC10" i="20"/>
  <c r="BD9" i="20"/>
  <c r="BC9" i="20"/>
  <c r="BD7" i="20"/>
  <c r="BC7" i="20"/>
  <c r="BD20" i="6"/>
  <c r="BC20" i="6"/>
  <c r="BD19" i="6"/>
  <c r="BC19" i="6"/>
  <c r="BD18" i="6"/>
  <c r="BC18" i="6"/>
  <c r="BD17" i="6"/>
  <c r="BC17" i="6"/>
  <c r="BD16" i="6"/>
  <c r="BC16" i="6"/>
  <c r="BD15" i="6"/>
  <c r="BC15" i="6"/>
  <c r="BD14" i="6"/>
  <c r="BD13" i="6"/>
  <c r="BD12" i="6"/>
  <c r="BD11" i="6"/>
  <c r="BC11" i="6"/>
  <c r="BD10" i="6"/>
  <c r="BC10" i="6"/>
  <c r="BD9" i="6"/>
  <c r="BC9" i="6"/>
  <c r="BD8" i="6"/>
  <c r="BD7" i="6"/>
  <c r="BC7" i="6"/>
  <c r="BD20" i="8"/>
  <c r="BC20" i="8"/>
  <c r="BD19" i="8"/>
  <c r="BC19" i="8"/>
  <c r="BD18" i="8"/>
  <c r="BD17" i="8"/>
  <c r="BD16" i="8"/>
  <c r="BD15" i="8"/>
  <c r="BD14" i="8"/>
  <c r="BD13" i="8"/>
  <c r="BD12" i="8"/>
  <c r="BD11" i="8"/>
  <c r="BC11" i="8"/>
  <c r="BD10" i="8"/>
  <c r="BC10" i="8"/>
  <c r="BD9" i="8"/>
  <c r="BC9" i="8"/>
  <c r="BD8" i="8"/>
  <c r="BC8" i="8"/>
  <c r="BD7" i="8"/>
  <c r="BC7" i="8"/>
  <c r="BD20" i="19"/>
  <c r="BC20" i="19"/>
  <c r="BD19" i="19"/>
  <c r="BC19" i="19"/>
  <c r="BD18" i="19"/>
  <c r="BC18" i="19"/>
  <c r="BD17" i="19"/>
  <c r="BC17" i="19"/>
  <c r="BD16" i="19"/>
  <c r="BC16" i="19"/>
  <c r="BD15" i="19"/>
  <c r="BC15" i="19"/>
  <c r="BD14" i="19"/>
  <c r="BC14" i="19"/>
  <c r="BD13" i="19"/>
  <c r="BC13" i="19"/>
  <c r="BD12" i="19"/>
  <c r="BC12" i="19"/>
  <c r="BD11" i="19"/>
  <c r="BC11" i="19"/>
  <c r="BD10" i="19"/>
  <c r="BC10" i="19"/>
  <c r="BD9" i="19"/>
  <c r="BC9" i="19"/>
  <c r="BD8" i="19"/>
  <c r="BC8" i="19"/>
  <c r="BD7" i="19"/>
  <c r="BC7" i="19"/>
  <c r="BD20" i="27"/>
  <c r="BC20" i="27"/>
  <c r="BD19" i="27"/>
  <c r="BC19" i="27"/>
  <c r="BD18" i="27"/>
  <c r="BC18" i="27"/>
  <c r="BD17" i="27"/>
  <c r="BC17" i="27"/>
  <c r="BD16" i="27"/>
  <c r="BC16" i="27"/>
  <c r="BD15" i="27"/>
  <c r="BC15" i="27"/>
  <c r="BD14" i="27"/>
  <c r="BC14" i="27"/>
  <c r="BD13" i="27"/>
  <c r="BC13" i="27"/>
  <c r="BD12" i="27"/>
  <c r="BC12" i="27"/>
  <c r="BD11" i="27"/>
  <c r="BC11" i="27"/>
  <c r="BD10" i="27"/>
  <c r="BC10" i="27"/>
  <c r="BD9" i="27"/>
  <c r="BC9" i="27"/>
  <c r="BD8" i="27"/>
  <c r="BC8" i="27"/>
  <c r="BD7" i="27"/>
  <c r="BC7" i="27"/>
  <c r="BD20" i="28"/>
  <c r="BC20" i="28"/>
  <c r="BD19" i="28"/>
  <c r="BC19" i="28"/>
  <c r="BD18" i="28"/>
  <c r="BC18" i="28"/>
  <c r="BD17" i="28"/>
  <c r="BC17" i="28"/>
  <c r="BD16" i="28"/>
  <c r="BC16" i="28"/>
  <c r="BD15" i="28"/>
  <c r="BC15" i="28"/>
  <c r="BD14" i="28"/>
  <c r="BD13" i="28"/>
  <c r="BC13" i="28"/>
  <c r="BD12" i="28"/>
  <c r="BC12" i="28"/>
  <c r="BD11" i="28"/>
  <c r="BC11" i="28"/>
  <c r="BD10" i="28"/>
  <c r="BC10" i="28"/>
  <c r="BD9" i="28"/>
  <c r="BC9" i="28"/>
  <c r="BD8" i="28"/>
  <c r="BC8" i="28"/>
  <c r="BD7" i="28"/>
  <c r="BC7" i="28"/>
  <c r="BD20" i="26"/>
  <c r="BC20" i="26"/>
  <c r="BD19" i="26"/>
  <c r="BC19" i="26"/>
  <c r="BD18" i="26"/>
  <c r="BC18" i="26"/>
  <c r="BD17" i="26"/>
  <c r="BC17" i="26"/>
  <c r="BD16" i="26"/>
  <c r="BC16" i="26"/>
  <c r="BD15" i="26"/>
  <c r="BC15" i="26"/>
  <c r="BD14" i="26"/>
  <c r="BC14" i="26"/>
  <c r="BD13" i="26"/>
  <c r="BC13" i="26"/>
  <c r="BD12" i="26"/>
  <c r="BC12" i="26"/>
  <c r="BD11" i="26"/>
  <c r="BC11" i="26"/>
  <c r="BD10" i="26"/>
  <c r="BC10" i="26"/>
  <c r="BD9" i="26"/>
  <c r="BC9" i="26"/>
  <c r="BD8" i="26"/>
  <c r="BC8" i="26"/>
  <c r="BD7" i="26"/>
  <c r="BC7" i="26"/>
  <c r="BD20" i="14"/>
  <c r="BC20" i="14"/>
  <c r="BD19" i="14"/>
  <c r="BC19" i="14"/>
  <c r="BD18" i="14"/>
  <c r="BD17" i="14"/>
  <c r="BC17" i="14"/>
  <c r="BD16" i="14"/>
  <c r="BD15" i="14"/>
  <c r="BC15" i="14"/>
  <c r="BD14" i="14"/>
  <c r="BC14" i="14"/>
  <c r="BD13" i="14"/>
  <c r="BC13" i="14"/>
  <c r="BD12" i="14"/>
  <c r="BC12" i="14"/>
  <c r="BD11" i="14"/>
  <c r="BC11" i="14"/>
  <c r="BD10" i="14"/>
  <c r="BC10" i="14"/>
  <c r="BD9" i="14"/>
  <c r="BC9" i="14"/>
  <c r="BD8" i="14"/>
  <c r="BC8" i="14"/>
  <c r="BD7" i="14"/>
  <c r="BC7" i="14"/>
  <c r="BD20" i="13"/>
  <c r="BC20" i="13"/>
  <c r="BD19" i="13"/>
  <c r="BC19" i="13"/>
  <c r="BD18" i="13"/>
  <c r="BC18" i="13"/>
  <c r="BD17" i="13"/>
  <c r="BC17" i="13"/>
  <c r="BD16" i="13"/>
  <c r="BD15" i="13"/>
  <c r="BC15" i="13"/>
  <c r="BD14" i="13"/>
  <c r="BC14" i="13"/>
  <c r="BD13" i="13"/>
  <c r="BC13" i="13"/>
  <c r="BD12" i="13"/>
  <c r="BC12" i="13"/>
  <c r="BD11" i="13"/>
  <c r="BC11" i="13"/>
  <c r="BD10" i="13"/>
  <c r="BC10" i="13"/>
  <c r="BD9" i="13"/>
  <c r="BC9" i="13"/>
  <c r="BD8" i="13"/>
  <c r="BC8" i="13"/>
  <c r="BD7" i="13"/>
  <c r="BC7" i="13"/>
  <c r="BD20" i="29"/>
  <c r="BC20" i="29"/>
  <c r="BD19" i="29"/>
  <c r="BC19" i="29"/>
  <c r="BD18" i="29"/>
  <c r="BC18" i="29"/>
  <c r="BD17" i="29"/>
  <c r="BC17" i="29"/>
  <c r="BD16" i="29"/>
  <c r="BC16" i="29"/>
  <c r="BD15" i="29"/>
  <c r="BD14" i="29"/>
  <c r="BC14" i="29"/>
  <c r="BD13" i="29"/>
  <c r="BD12" i="29"/>
  <c r="BC12" i="29"/>
  <c r="BD11" i="29"/>
  <c r="BC11" i="29"/>
  <c r="BD10" i="29"/>
  <c r="BC10" i="29"/>
  <c r="BD9" i="29"/>
  <c r="BC9" i="29"/>
  <c r="BD8" i="29"/>
  <c r="BC8" i="29"/>
  <c r="BD7" i="29"/>
  <c r="BC7" i="29"/>
  <c r="BD20" i="17"/>
  <c r="BC20" i="17"/>
  <c r="BD19" i="17"/>
  <c r="BC19" i="17"/>
  <c r="BD18" i="17"/>
  <c r="BC18" i="17"/>
  <c r="BC16" i="17"/>
  <c r="BD15" i="17"/>
  <c r="BC14" i="17"/>
  <c r="BD13" i="17"/>
  <c r="BD12" i="17"/>
  <c r="BC12" i="17"/>
  <c r="BD11" i="17"/>
  <c r="BC11" i="17"/>
  <c r="BD10" i="17"/>
  <c r="BC10" i="17"/>
  <c r="BD9" i="17"/>
  <c r="BC9" i="17"/>
  <c r="BD8" i="17"/>
  <c r="BC8" i="17"/>
  <c r="BD7" i="17"/>
  <c r="BC7" i="17"/>
  <c r="BD20" i="16"/>
  <c r="BC20" i="16"/>
  <c r="BD19" i="16"/>
  <c r="BC19" i="16"/>
  <c r="BD18" i="16"/>
  <c r="BC16" i="16"/>
  <c r="BD15" i="16"/>
  <c r="BC15" i="16"/>
  <c r="BD13" i="16"/>
  <c r="BC13" i="16"/>
  <c r="BD11" i="16"/>
  <c r="BC11" i="16"/>
  <c r="BD10" i="16"/>
  <c r="BC10" i="16"/>
  <c r="BD9" i="16"/>
  <c r="BC9" i="16"/>
  <c r="BD8" i="16"/>
  <c r="BC8" i="16"/>
  <c r="BD7" i="16"/>
  <c r="BC7" i="16"/>
  <c r="BD20" i="21"/>
  <c r="BC20" i="21"/>
  <c r="BD19" i="21"/>
  <c r="BC19" i="21"/>
  <c r="BC18" i="21"/>
  <c r="BD17" i="21"/>
  <c r="BC17" i="21"/>
  <c r="BD16" i="21"/>
  <c r="BD15" i="21"/>
  <c r="BC15" i="21"/>
  <c r="BD14" i="21"/>
  <c r="BD13" i="21"/>
  <c r="BC13" i="21"/>
  <c r="BD12" i="21"/>
  <c r="BC12" i="21"/>
  <c r="BD11" i="21"/>
  <c r="BC11" i="21"/>
  <c r="BD10" i="21"/>
  <c r="BC10" i="21"/>
  <c r="BD9" i="21"/>
  <c r="BC9" i="21"/>
  <c r="BD8" i="21"/>
  <c r="BC8" i="21"/>
  <c r="BD7" i="21"/>
  <c r="BC7" i="21"/>
  <c r="BD20" i="9"/>
  <c r="BC20" i="9"/>
  <c r="BD19" i="9"/>
  <c r="BC19" i="9"/>
  <c r="BD18" i="9"/>
  <c r="BC18" i="9"/>
  <c r="BD17" i="9"/>
  <c r="BC17" i="9"/>
  <c r="BD16" i="9"/>
  <c r="BC16" i="9"/>
  <c r="BD15" i="9"/>
  <c r="BC15" i="9"/>
  <c r="BC14" i="9"/>
  <c r="BD13" i="9"/>
  <c r="BD12" i="9"/>
  <c r="BC12" i="9"/>
  <c r="BD11" i="9"/>
  <c r="BC11" i="9"/>
  <c r="BD10" i="9"/>
  <c r="BC10" i="9"/>
  <c r="BD9" i="9"/>
  <c r="BC9" i="9"/>
  <c r="BD8" i="9"/>
  <c r="BC8" i="9"/>
  <c r="BD7" i="9"/>
  <c r="BC7" i="9"/>
  <c r="BD20" i="10"/>
  <c r="BC20" i="10"/>
  <c r="BD19" i="10"/>
  <c r="BC19" i="10"/>
  <c r="BD18" i="10"/>
  <c r="BC18" i="10"/>
  <c r="BD17" i="10"/>
  <c r="BC17" i="10"/>
  <c r="BD16" i="10"/>
  <c r="BC16" i="10"/>
  <c r="BD15" i="10"/>
  <c r="BC15" i="10"/>
  <c r="BD14" i="10"/>
  <c r="BC14" i="10"/>
  <c r="BD13" i="10"/>
  <c r="BC13" i="10"/>
  <c r="BD12" i="10"/>
  <c r="BC12" i="10"/>
  <c r="BD11" i="10"/>
  <c r="BC11" i="10"/>
  <c r="BD10" i="10"/>
  <c r="BC10" i="10"/>
  <c r="BD9" i="10"/>
  <c r="BC9" i="10"/>
  <c r="BD8" i="10"/>
  <c r="BC8" i="10"/>
  <c r="BD7" i="10"/>
  <c r="BC7" i="10"/>
  <c r="BD20" i="31"/>
  <c r="BC20" i="31"/>
  <c r="BD19" i="31"/>
  <c r="BC19" i="31"/>
  <c r="BC18" i="31"/>
  <c r="BC17" i="31"/>
  <c r="BC16" i="31"/>
  <c r="BD15" i="31"/>
  <c r="BC15" i="31"/>
  <c r="BC14" i="31"/>
  <c r="BC13" i="31"/>
  <c r="BD12" i="31"/>
  <c r="BC12" i="31"/>
  <c r="BD11" i="31"/>
  <c r="BC11" i="31"/>
  <c r="BD10" i="31"/>
  <c r="BC10" i="31"/>
  <c r="BD9" i="31"/>
  <c r="BC9" i="31"/>
  <c r="BD8" i="31"/>
  <c r="BC8" i="31"/>
  <c r="BD7" i="31"/>
  <c r="BZ20" i="12"/>
  <c r="BY20" i="12"/>
  <c r="BX20" i="12"/>
  <c r="BW20" i="12"/>
  <c r="BV20" i="12"/>
  <c r="BU20" i="12"/>
  <c r="BT20" i="12"/>
  <c r="BS20" i="12"/>
  <c r="BR20" i="12"/>
  <c r="CA20" i="12" s="1"/>
  <c r="CB20" i="12" s="1"/>
  <c r="BM20" i="12"/>
  <c r="BL20" i="12"/>
  <c r="BK20" i="12"/>
  <c r="BJ20" i="12"/>
  <c r="BI20" i="12"/>
  <c r="BH20" i="12"/>
  <c r="BG20" i="12"/>
  <c r="BF20" i="12"/>
  <c r="BN20" i="12" s="1"/>
  <c r="BZ19" i="12"/>
  <c r="BY19" i="12"/>
  <c r="BX19" i="12"/>
  <c r="BW19" i="12"/>
  <c r="BV19" i="12"/>
  <c r="BU19" i="12"/>
  <c r="BT19" i="12"/>
  <c r="BS19" i="12"/>
  <c r="BR19" i="12"/>
  <c r="CA19" i="12" s="1"/>
  <c r="CB19" i="12" s="1"/>
  <c r="BM19" i="12"/>
  <c r="BL19" i="12"/>
  <c r="BK19" i="12"/>
  <c r="BJ19" i="12"/>
  <c r="BI19" i="12"/>
  <c r="BH19" i="12"/>
  <c r="BG19" i="12"/>
  <c r="BF19" i="12"/>
  <c r="BN19" i="12" s="1"/>
  <c r="BY18" i="12"/>
  <c r="BW18" i="12"/>
  <c r="BV18" i="12"/>
  <c r="BU18" i="12"/>
  <c r="BT18" i="12"/>
  <c r="BR18" i="12"/>
  <c r="CA18" i="12" s="1"/>
  <c r="CB18" i="12" s="1"/>
  <c r="BM18" i="12"/>
  <c r="BL18" i="12"/>
  <c r="BK18" i="12"/>
  <c r="BJ18" i="12"/>
  <c r="BI18" i="12"/>
  <c r="BH18" i="12"/>
  <c r="BY17" i="12"/>
  <c r="BX17" i="12"/>
  <c r="BW17" i="12"/>
  <c r="BV17" i="12"/>
  <c r="BU17" i="12"/>
  <c r="BT17" i="12"/>
  <c r="BS17" i="12"/>
  <c r="BR17" i="12"/>
  <c r="BM17" i="12"/>
  <c r="BL17" i="12"/>
  <c r="BK17" i="12"/>
  <c r="BJ17" i="12"/>
  <c r="BI17" i="12"/>
  <c r="BH17" i="12"/>
  <c r="BG17" i="12"/>
  <c r="BN17" i="12" s="1"/>
  <c r="BL53" i="33" s="1"/>
  <c r="BF17" i="12"/>
  <c r="BY16" i="12"/>
  <c r="BW16" i="12"/>
  <c r="BV16" i="12"/>
  <c r="BU16" i="12"/>
  <c r="BT16" i="12"/>
  <c r="BS16" i="12"/>
  <c r="BR16" i="12"/>
  <c r="BM16" i="12"/>
  <c r="BL16" i="12"/>
  <c r="BK16" i="12"/>
  <c r="BJ16" i="12"/>
  <c r="BI16" i="12"/>
  <c r="BH16" i="12"/>
  <c r="BG16" i="12"/>
  <c r="BN16" i="12" s="1"/>
  <c r="BL52" i="33" s="1"/>
  <c r="BF16" i="12"/>
  <c r="BY15" i="12"/>
  <c r="BX15" i="12"/>
  <c r="BW15" i="12"/>
  <c r="BV15" i="12"/>
  <c r="BU15" i="12"/>
  <c r="BT15" i="12"/>
  <c r="BS15" i="12"/>
  <c r="BR15" i="12"/>
  <c r="BM15" i="12"/>
  <c r="BL15" i="12"/>
  <c r="BK15" i="12"/>
  <c r="BJ15" i="12"/>
  <c r="BI15" i="12"/>
  <c r="BH15" i="12"/>
  <c r="BG15" i="12"/>
  <c r="BY14" i="12"/>
  <c r="BV14" i="12"/>
  <c r="BU14" i="12"/>
  <c r="BT14" i="12"/>
  <c r="BS14" i="12"/>
  <c r="BR14" i="12"/>
  <c r="BM14" i="12"/>
  <c r="BL14" i="12"/>
  <c r="BK14" i="12"/>
  <c r="BJ14" i="12"/>
  <c r="BI14" i="12"/>
  <c r="BH14" i="12"/>
  <c r="BG14" i="12"/>
  <c r="BF14" i="12"/>
  <c r="BN14" i="12"/>
  <c r="BL50" i="33" s="1"/>
  <c r="BY13" i="12"/>
  <c r="BX13" i="12"/>
  <c r="BW13" i="12"/>
  <c r="BV13" i="12"/>
  <c r="BU13" i="12"/>
  <c r="BT13" i="12"/>
  <c r="CA13" i="12" s="1"/>
  <c r="CB13" i="12" s="1"/>
  <c r="BS13" i="12"/>
  <c r="BR13" i="12"/>
  <c r="BM13" i="12"/>
  <c r="BL13" i="12"/>
  <c r="BK13" i="12"/>
  <c r="BJ13" i="12"/>
  <c r="BI13" i="12"/>
  <c r="BH13" i="12"/>
  <c r="BG13" i="12"/>
  <c r="BY12" i="12"/>
  <c r="BX12" i="12"/>
  <c r="BW12" i="12"/>
  <c r="BV12" i="12"/>
  <c r="BU12" i="12"/>
  <c r="BT12" i="12"/>
  <c r="BS12" i="12"/>
  <c r="BR12" i="12"/>
  <c r="BM12" i="12"/>
  <c r="BL12" i="12"/>
  <c r="BK12" i="12"/>
  <c r="BJ12" i="12"/>
  <c r="BI12" i="12"/>
  <c r="BH12" i="12"/>
  <c r="BG12" i="12"/>
  <c r="BZ11" i="12"/>
  <c r="BY11" i="12"/>
  <c r="BX11" i="12"/>
  <c r="BW11" i="12"/>
  <c r="BV11" i="12"/>
  <c r="BU11" i="12"/>
  <c r="BT11" i="12"/>
  <c r="BS11" i="12"/>
  <c r="BR11" i="12"/>
  <c r="BM11" i="12"/>
  <c r="BL11" i="12"/>
  <c r="BK11" i="12"/>
  <c r="BJ11" i="12"/>
  <c r="BI11" i="12"/>
  <c r="BH11" i="12"/>
  <c r="BG11" i="12"/>
  <c r="BF11" i="12"/>
  <c r="BN11" i="12"/>
  <c r="BZ10" i="12"/>
  <c r="BY10" i="12"/>
  <c r="BX10" i="12"/>
  <c r="BW10" i="12"/>
  <c r="BV10" i="12"/>
  <c r="BU10" i="12"/>
  <c r="BT10" i="12"/>
  <c r="BS10" i="12"/>
  <c r="BR10" i="12"/>
  <c r="BM10" i="12"/>
  <c r="BL10" i="12"/>
  <c r="BK10" i="12"/>
  <c r="BJ10" i="12"/>
  <c r="BI10" i="12"/>
  <c r="BH10" i="12"/>
  <c r="BG10" i="12"/>
  <c r="BF10" i="12"/>
  <c r="BN10" i="12"/>
  <c r="BZ9" i="12"/>
  <c r="BY9" i="12"/>
  <c r="BX9" i="12"/>
  <c r="BW9" i="12"/>
  <c r="BV9" i="12"/>
  <c r="BU9" i="12"/>
  <c r="BT9" i="12"/>
  <c r="BS9" i="12"/>
  <c r="CA9" i="12" s="1"/>
  <c r="CB9" i="12" s="1"/>
  <c r="BR9" i="12"/>
  <c r="BM9" i="12"/>
  <c r="BL9" i="12"/>
  <c r="BK9" i="12"/>
  <c r="BJ9" i="12"/>
  <c r="BI9" i="12"/>
  <c r="BO9" i="12" s="1"/>
  <c r="BH9" i="12"/>
  <c r="BG9" i="12"/>
  <c r="BF9" i="12"/>
  <c r="BN9" i="12" s="1"/>
  <c r="BZ8" i="12"/>
  <c r="BY8" i="12"/>
  <c r="BX8" i="12"/>
  <c r="BW8" i="12"/>
  <c r="BV8" i="12"/>
  <c r="BU8" i="12"/>
  <c r="BT8" i="12"/>
  <c r="BS8" i="12"/>
  <c r="BR8" i="12"/>
  <c r="CA8" i="12" s="1"/>
  <c r="CB8" i="12" s="1"/>
  <c r="BM8" i="12"/>
  <c r="BL8" i="12"/>
  <c r="BK8" i="12"/>
  <c r="BJ8" i="12"/>
  <c r="BI8" i="12"/>
  <c r="BH8" i="12"/>
  <c r="BG8" i="12"/>
  <c r="BF8" i="12"/>
  <c r="BN8" i="12" s="1"/>
  <c r="BZ7" i="12"/>
  <c r="BY7" i="12"/>
  <c r="BX7" i="12"/>
  <c r="BW7" i="12"/>
  <c r="BV7" i="12"/>
  <c r="BU7" i="12"/>
  <c r="BT7" i="12"/>
  <c r="BS7" i="12"/>
  <c r="BR7" i="12"/>
  <c r="CA7" i="12" s="1"/>
  <c r="CB7" i="12" s="1"/>
  <c r="BM7" i="12"/>
  <c r="BL7" i="12"/>
  <c r="BK7" i="12"/>
  <c r="BJ7" i="12"/>
  <c r="BI7" i="12"/>
  <c r="BH7" i="12"/>
  <c r="BG7" i="12"/>
  <c r="BF7" i="12"/>
  <c r="BN7" i="12" s="1"/>
  <c r="BZ20" i="1"/>
  <c r="BY20" i="1"/>
  <c r="BX20" i="1"/>
  <c r="BW20" i="1"/>
  <c r="BV20" i="1"/>
  <c r="BU20" i="1"/>
  <c r="BT20" i="1"/>
  <c r="BS20" i="1"/>
  <c r="BR20" i="1"/>
  <c r="BM20" i="1"/>
  <c r="BL20" i="1"/>
  <c r="BK20" i="1"/>
  <c r="BJ20" i="1"/>
  <c r="BI20" i="1"/>
  <c r="BH20" i="1"/>
  <c r="BG20" i="1"/>
  <c r="BF20" i="1"/>
  <c r="BN20" i="1" s="1"/>
  <c r="BZ19" i="1"/>
  <c r="BY19" i="1"/>
  <c r="BX19" i="1"/>
  <c r="BW19" i="1"/>
  <c r="BV19" i="1"/>
  <c r="BU19" i="1"/>
  <c r="BT19" i="1"/>
  <c r="BS19" i="1"/>
  <c r="BR19" i="1"/>
  <c r="CA19" i="1" s="1"/>
  <c r="CB19" i="1" s="1"/>
  <c r="BM19" i="1"/>
  <c r="BL19" i="1"/>
  <c r="BK19" i="1"/>
  <c r="BJ19" i="1"/>
  <c r="BI19" i="1"/>
  <c r="BH19" i="1"/>
  <c r="BG19" i="1"/>
  <c r="BF19" i="1"/>
  <c r="BN19" i="1" s="1"/>
  <c r="BZ18" i="1"/>
  <c r="BY18" i="1"/>
  <c r="BX18" i="1"/>
  <c r="BW18" i="1"/>
  <c r="BV18" i="1"/>
  <c r="BU18" i="1"/>
  <c r="BT18" i="1"/>
  <c r="BS18" i="1"/>
  <c r="BR18" i="1"/>
  <c r="CA18" i="1" s="1"/>
  <c r="BM18" i="1"/>
  <c r="BL18" i="1"/>
  <c r="BK18" i="1"/>
  <c r="BJ18" i="1"/>
  <c r="BI18" i="1"/>
  <c r="BH18" i="1"/>
  <c r="BG18" i="1"/>
  <c r="BF18" i="1"/>
  <c r="BN18" i="1" s="1"/>
  <c r="BL61" i="33" s="1"/>
  <c r="BZ17" i="1"/>
  <c r="BY17" i="1"/>
  <c r="BX17" i="1"/>
  <c r="BW17" i="1"/>
  <c r="BV17" i="1"/>
  <c r="BU17" i="1"/>
  <c r="BT17" i="1"/>
  <c r="BS17" i="1"/>
  <c r="BR17" i="1"/>
  <c r="BM17" i="1"/>
  <c r="BL17" i="1"/>
  <c r="BK17" i="1"/>
  <c r="BJ17" i="1"/>
  <c r="BI17" i="1"/>
  <c r="BH17" i="1"/>
  <c r="BG17" i="1"/>
  <c r="BF17" i="1"/>
  <c r="BN17" i="1" s="1"/>
  <c r="BL60" i="33" s="1"/>
  <c r="BZ16" i="1"/>
  <c r="BY16" i="1"/>
  <c r="BX16" i="1"/>
  <c r="BW16" i="1"/>
  <c r="BV16" i="1"/>
  <c r="BU16" i="1"/>
  <c r="BT16" i="1"/>
  <c r="BS16" i="1"/>
  <c r="BR16" i="1"/>
  <c r="BM16" i="1"/>
  <c r="BL16" i="1"/>
  <c r="BK16" i="1"/>
  <c r="BJ16" i="1"/>
  <c r="BI16" i="1"/>
  <c r="BH16" i="1"/>
  <c r="BG16" i="1"/>
  <c r="BF16" i="1"/>
  <c r="BN16" i="1" s="1"/>
  <c r="BL59" i="33" s="1"/>
  <c r="BZ15" i="1"/>
  <c r="BY15" i="1"/>
  <c r="BX15" i="1"/>
  <c r="BW15" i="1"/>
  <c r="BV15" i="1"/>
  <c r="BU15" i="1"/>
  <c r="BT15" i="1"/>
  <c r="BS15" i="1"/>
  <c r="BR15" i="1"/>
  <c r="BM15" i="1"/>
  <c r="BL15" i="1"/>
  <c r="BK15" i="1"/>
  <c r="BJ15" i="1"/>
  <c r="BI15" i="1"/>
  <c r="BH15" i="1"/>
  <c r="BG15" i="1"/>
  <c r="BZ14" i="1"/>
  <c r="BY14" i="1"/>
  <c r="BX14" i="1"/>
  <c r="BW14" i="1"/>
  <c r="BV14" i="1"/>
  <c r="BU14" i="1"/>
  <c r="BT14" i="1"/>
  <c r="BS14" i="1"/>
  <c r="BR14" i="1"/>
  <c r="CA14" i="1" s="1"/>
  <c r="BM14" i="1"/>
  <c r="BL14" i="1"/>
  <c r="BK14" i="1"/>
  <c r="BJ14" i="1"/>
  <c r="BI14" i="1"/>
  <c r="BH14" i="1"/>
  <c r="BG14" i="1"/>
  <c r="BZ13" i="1"/>
  <c r="BY13" i="1"/>
  <c r="BX13" i="1"/>
  <c r="BW13" i="1"/>
  <c r="BV13" i="1"/>
  <c r="BU13" i="1"/>
  <c r="BT13" i="1"/>
  <c r="BS13" i="1"/>
  <c r="BR13" i="1"/>
  <c r="CA13" i="1" s="1"/>
  <c r="BM13" i="1"/>
  <c r="BL13" i="1"/>
  <c r="BK13" i="1"/>
  <c r="BJ13" i="1"/>
  <c r="BI13" i="1"/>
  <c r="BH13" i="1"/>
  <c r="BG13" i="1"/>
  <c r="BZ12" i="1"/>
  <c r="BY12" i="1"/>
  <c r="BX12" i="1"/>
  <c r="BW12" i="1"/>
  <c r="BV12" i="1"/>
  <c r="BU12" i="1"/>
  <c r="BT12" i="1"/>
  <c r="BS12" i="1"/>
  <c r="BR12" i="1"/>
  <c r="BM12" i="1"/>
  <c r="BL12" i="1"/>
  <c r="BK12" i="1"/>
  <c r="BJ12" i="1"/>
  <c r="BI12" i="1"/>
  <c r="BH12" i="1"/>
  <c r="BG12" i="1"/>
  <c r="BF12" i="1"/>
  <c r="BN12" i="1" s="1"/>
  <c r="BL55" i="33" s="1"/>
  <c r="BZ11" i="1"/>
  <c r="BY11" i="1"/>
  <c r="BX11" i="1"/>
  <c r="BW11" i="1"/>
  <c r="BV11" i="1"/>
  <c r="BU11" i="1"/>
  <c r="BT11" i="1"/>
  <c r="BS11" i="1"/>
  <c r="BR11" i="1"/>
  <c r="BM11" i="1"/>
  <c r="BL11" i="1"/>
  <c r="BK11" i="1"/>
  <c r="BJ11" i="1"/>
  <c r="BI11" i="1"/>
  <c r="BH11" i="1"/>
  <c r="BG11" i="1"/>
  <c r="BF11" i="1"/>
  <c r="BN11" i="1" s="1"/>
  <c r="BZ10" i="1"/>
  <c r="BY10" i="1"/>
  <c r="BX10" i="1"/>
  <c r="BW10" i="1"/>
  <c r="BV10" i="1"/>
  <c r="BU10" i="1"/>
  <c r="BT10" i="1"/>
  <c r="BS10" i="1"/>
  <c r="BR10" i="1"/>
  <c r="BM10" i="1"/>
  <c r="BL10" i="1"/>
  <c r="BK10" i="1"/>
  <c r="BJ10" i="1"/>
  <c r="BO10" i="1" s="1"/>
  <c r="BI10" i="1"/>
  <c r="BH10" i="1"/>
  <c r="BG10" i="1"/>
  <c r="BF10" i="1"/>
  <c r="BN10" i="1"/>
  <c r="BZ9" i="1"/>
  <c r="BY9" i="1"/>
  <c r="BX9" i="1"/>
  <c r="BW9" i="1"/>
  <c r="BV9" i="1"/>
  <c r="BU9" i="1"/>
  <c r="BT9" i="1"/>
  <c r="BS9" i="1"/>
  <c r="BR9" i="1"/>
  <c r="CA9" i="1" s="1"/>
  <c r="CB9" i="1" s="1"/>
  <c r="BM9" i="1"/>
  <c r="BL9" i="1"/>
  <c r="BK9" i="1"/>
  <c r="BJ9" i="1"/>
  <c r="BI9" i="1"/>
  <c r="BO9" i="1" s="1"/>
  <c r="BH9" i="1"/>
  <c r="BG9" i="1"/>
  <c r="BF9" i="1"/>
  <c r="BN9" i="1" s="1"/>
  <c r="BZ8" i="1"/>
  <c r="BY8" i="1"/>
  <c r="BX8" i="1"/>
  <c r="BW8" i="1"/>
  <c r="BV8" i="1"/>
  <c r="BU8" i="1"/>
  <c r="BT8" i="1"/>
  <c r="BS8" i="1"/>
  <c r="BR8" i="1"/>
  <c r="BM8" i="1"/>
  <c r="BL8" i="1"/>
  <c r="BK8" i="1"/>
  <c r="BJ8" i="1"/>
  <c r="BI8" i="1"/>
  <c r="BH8" i="1"/>
  <c r="BG8" i="1"/>
  <c r="BF8" i="1"/>
  <c r="BN8" i="1" s="1"/>
  <c r="BZ7" i="1"/>
  <c r="BY7" i="1"/>
  <c r="BX7" i="1"/>
  <c r="BW7" i="1"/>
  <c r="BV7" i="1"/>
  <c r="BU7" i="1"/>
  <c r="BT7" i="1"/>
  <c r="BS7" i="1"/>
  <c r="BR7" i="1"/>
  <c r="CA7" i="1" s="1"/>
  <c r="CB7" i="1" s="1"/>
  <c r="BM7" i="1"/>
  <c r="BL7" i="1"/>
  <c r="BK7" i="1"/>
  <c r="BJ7" i="1"/>
  <c r="BI7" i="1"/>
  <c r="BH7" i="1"/>
  <c r="BG7" i="1"/>
  <c r="BF7" i="1"/>
  <c r="BN7" i="1" s="1"/>
  <c r="BZ20" i="3"/>
  <c r="BY20" i="3"/>
  <c r="BX20" i="3"/>
  <c r="BW20" i="3"/>
  <c r="BV20" i="3"/>
  <c r="BU20" i="3"/>
  <c r="BT20" i="3"/>
  <c r="BS20" i="3"/>
  <c r="BR20" i="3"/>
  <c r="BM20" i="3"/>
  <c r="BL20" i="3"/>
  <c r="BK20" i="3"/>
  <c r="BJ20" i="3"/>
  <c r="BI20" i="3"/>
  <c r="BH20" i="3"/>
  <c r="BG20" i="3"/>
  <c r="BF20" i="3"/>
  <c r="BN20" i="3" s="1"/>
  <c r="BZ19" i="3"/>
  <c r="BY19" i="3"/>
  <c r="BX19" i="3"/>
  <c r="BW19" i="3"/>
  <c r="BV19" i="3"/>
  <c r="BU19" i="3"/>
  <c r="BT19" i="3"/>
  <c r="BS19" i="3"/>
  <c r="BR19" i="3"/>
  <c r="CA19" i="3" s="1"/>
  <c r="CB19" i="3" s="1"/>
  <c r="BM19" i="3"/>
  <c r="BL19" i="3"/>
  <c r="BK19" i="3"/>
  <c r="BJ19" i="3"/>
  <c r="BI19" i="3"/>
  <c r="BO19" i="3"/>
  <c r="BH19" i="3"/>
  <c r="BG19" i="3"/>
  <c r="BF19" i="3"/>
  <c r="BN19" i="3"/>
  <c r="BZ18" i="3"/>
  <c r="BY18" i="3"/>
  <c r="BX18" i="3"/>
  <c r="BW18" i="3"/>
  <c r="BV18" i="3"/>
  <c r="BU18" i="3"/>
  <c r="BT18" i="3"/>
  <c r="BS18" i="3"/>
  <c r="BR18" i="3"/>
  <c r="BM18" i="3"/>
  <c r="BL18" i="3"/>
  <c r="BK18" i="3"/>
  <c r="BJ18" i="3"/>
  <c r="BI18" i="3"/>
  <c r="BH18" i="3"/>
  <c r="BG18" i="3"/>
  <c r="BN18" i="3" s="1"/>
  <c r="BL68" i="33" s="1"/>
  <c r="BF18" i="3"/>
  <c r="BZ17" i="3"/>
  <c r="BY17" i="3"/>
  <c r="BX17" i="3"/>
  <c r="BW17" i="3"/>
  <c r="BV17" i="3"/>
  <c r="BU17" i="3"/>
  <c r="BT17" i="3"/>
  <c r="BS17" i="3"/>
  <c r="BR17" i="3"/>
  <c r="CA17" i="3"/>
  <c r="BY67" i="33" s="1"/>
  <c r="BZ67" i="33" s="1"/>
  <c r="BM17" i="3"/>
  <c r="BL17" i="3"/>
  <c r="BK17" i="3"/>
  <c r="BJ17" i="3"/>
  <c r="BI17" i="3"/>
  <c r="BH17" i="3"/>
  <c r="BG17" i="3"/>
  <c r="BN17" i="3" s="1"/>
  <c r="BL67" i="33" s="1"/>
  <c r="BF17" i="3"/>
  <c r="BZ16" i="3"/>
  <c r="BY16" i="3"/>
  <c r="BX16" i="3"/>
  <c r="BW16" i="3"/>
  <c r="BV16" i="3"/>
  <c r="BU16" i="3"/>
  <c r="BT16" i="3"/>
  <c r="BS16" i="3"/>
  <c r="BR16" i="3"/>
  <c r="CA16" i="3"/>
  <c r="BY66" i="33" s="1"/>
  <c r="BZ66" i="33" s="1"/>
  <c r="BM16" i="3"/>
  <c r="BL16" i="3"/>
  <c r="BK16" i="3"/>
  <c r="BJ16" i="3"/>
  <c r="BI16" i="3"/>
  <c r="BH16" i="3"/>
  <c r="BG16" i="3"/>
  <c r="BN16" i="3" s="1"/>
  <c r="BL66" i="33" s="1"/>
  <c r="BF16" i="3"/>
  <c r="BZ15" i="3"/>
  <c r="BY15" i="3"/>
  <c r="BX15" i="3"/>
  <c r="BW15" i="3"/>
  <c r="BV15" i="3"/>
  <c r="BU15" i="3"/>
  <c r="BT15" i="3"/>
  <c r="BS15" i="3"/>
  <c r="BR15" i="3"/>
  <c r="CA15" i="3"/>
  <c r="BY65" i="33" s="1"/>
  <c r="BZ65" i="33" s="1"/>
  <c r="BM15" i="3"/>
  <c r="BL15" i="3"/>
  <c r="BK15" i="3"/>
  <c r="BJ15" i="3"/>
  <c r="BI15" i="3"/>
  <c r="BH15" i="3"/>
  <c r="BG15" i="3"/>
  <c r="BN15" i="3" s="1"/>
  <c r="BL65" i="33" s="1"/>
  <c r="BF15" i="3"/>
  <c r="BZ14" i="3"/>
  <c r="BY14" i="3"/>
  <c r="BX14" i="3"/>
  <c r="BW14" i="3"/>
  <c r="BV14" i="3"/>
  <c r="BU14" i="3"/>
  <c r="BT14" i="3"/>
  <c r="BS14" i="3"/>
  <c r="BR14" i="3"/>
  <c r="BM14" i="3"/>
  <c r="BL14" i="3"/>
  <c r="BK14" i="3"/>
  <c r="BJ14" i="3"/>
  <c r="BI14" i="3"/>
  <c r="BH14" i="3"/>
  <c r="BG14" i="3"/>
  <c r="BF14" i="3"/>
  <c r="BN14" i="3"/>
  <c r="BL64" i="33" s="1"/>
  <c r="BZ13" i="3"/>
  <c r="BY13" i="3"/>
  <c r="BX13" i="3"/>
  <c r="BW13" i="3"/>
  <c r="BV13" i="3"/>
  <c r="BU13" i="3"/>
  <c r="BT13" i="3"/>
  <c r="BS13" i="3"/>
  <c r="BR13" i="3"/>
  <c r="BM13" i="3"/>
  <c r="BL13" i="3"/>
  <c r="BK13" i="3"/>
  <c r="BJ13" i="3"/>
  <c r="BI13" i="3"/>
  <c r="BH13" i="3"/>
  <c r="BG13" i="3"/>
  <c r="BN13" i="3" s="1"/>
  <c r="BL63" i="33" s="1"/>
  <c r="BF13" i="3"/>
  <c r="BZ12" i="3"/>
  <c r="BY12" i="3"/>
  <c r="BX12" i="3"/>
  <c r="BW12" i="3"/>
  <c r="BV12" i="3"/>
  <c r="BU12" i="3"/>
  <c r="BT12" i="3"/>
  <c r="BS12" i="3"/>
  <c r="BR12" i="3"/>
  <c r="BM12" i="3"/>
  <c r="BL12" i="3"/>
  <c r="BK12" i="3"/>
  <c r="BJ12" i="3"/>
  <c r="BI12" i="3"/>
  <c r="BH12" i="3"/>
  <c r="BG12" i="3"/>
  <c r="BF12" i="3"/>
  <c r="BN12" i="3"/>
  <c r="BL62" i="33" s="1"/>
  <c r="BZ11" i="3"/>
  <c r="BY11" i="3"/>
  <c r="BX11" i="3"/>
  <c r="BW11" i="3"/>
  <c r="BV11" i="3"/>
  <c r="BU11" i="3"/>
  <c r="BT11" i="3"/>
  <c r="BS11" i="3"/>
  <c r="CA11" i="3" s="1"/>
  <c r="CB11" i="3" s="1"/>
  <c r="BR11" i="3"/>
  <c r="BM11" i="3"/>
  <c r="BL11" i="3"/>
  <c r="BK11" i="3"/>
  <c r="BJ11" i="3"/>
  <c r="BI11" i="3"/>
  <c r="BH11" i="3"/>
  <c r="BG11" i="3"/>
  <c r="BF11" i="3"/>
  <c r="BN11" i="3"/>
  <c r="BZ10" i="3"/>
  <c r="BY10" i="3"/>
  <c r="BX10" i="3"/>
  <c r="BW10" i="3"/>
  <c r="BV10" i="3"/>
  <c r="BU10" i="3"/>
  <c r="BT10" i="3"/>
  <c r="BS10" i="3"/>
  <c r="BR10" i="3"/>
  <c r="BM10" i="3"/>
  <c r="BL10" i="3"/>
  <c r="BK10" i="3"/>
  <c r="BJ10" i="3"/>
  <c r="BI10" i="3"/>
  <c r="BH10" i="3"/>
  <c r="BG10" i="3"/>
  <c r="BF10" i="3"/>
  <c r="BN10" i="3"/>
  <c r="BZ9" i="3"/>
  <c r="BY9" i="3"/>
  <c r="BX9" i="3"/>
  <c r="BW9" i="3"/>
  <c r="BV9" i="3"/>
  <c r="BU9" i="3"/>
  <c r="BT9" i="3"/>
  <c r="BS9" i="3"/>
  <c r="BR9" i="3"/>
  <c r="CA9" i="3"/>
  <c r="CB9" i="3" s="1"/>
  <c r="BM9" i="3"/>
  <c r="BL9" i="3"/>
  <c r="BK9" i="3"/>
  <c r="BJ9" i="3"/>
  <c r="BI9" i="3"/>
  <c r="BH9" i="3"/>
  <c r="BG9" i="3"/>
  <c r="BF9" i="3"/>
  <c r="BN9" i="3"/>
  <c r="BZ8" i="3"/>
  <c r="BY8" i="3"/>
  <c r="BX8" i="3"/>
  <c r="BW8" i="3"/>
  <c r="BV8" i="3"/>
  <c r="BU8" i="3"/>
  <c r="BT8" i="3"/>
  <c r="BS8" i="3"/>
  <c r="BR8" i="3"/>
  <c r="CA8" i="3" s="1"/>
  <c r="CB8" i="3" s="1"/>
  <c r="BM8" i="3"/>
  <c r="BL8" i="3"/>
  <c r="BK8" i="3"/>
  <c r="BJ8" i="3"/>
  <c r="BI8" i="3"/>
  <c r="BH8" i="3"/>
  <c r="BG8" i="3"/>
  <c r="BF8" i="3"/>
  <c r="BN8" i="3"/>
  <c r="BZ7" i="3"/>
  <c r="BY7" i="3"/>
  <c r="BX7" i="3"/>
  <c r="BW7" i="3"/>
  <c r="BV7" i="3"/>
  <c r="BU7" i="3"/>
  <c r="BT7" i="3"/>
  <c r="BS7" i="3"/>
  <c r="BR7" i="3"/>
  <c r="CA7" i="3"/>
  <c r="CB7" i="3" s="1"/>
  <c r="BM7" i="3"/>
  <c r="BL7" i="3"/>
  <c r="BK7" i="3"/>
  <c r="BJ7" i="3"/>
  <c r="BI7" i="3"/>
  <c r="BH7" i="3"/>
  <c r="BG7" i="3"/>
  <c r="BF7" i="3"/>
  <c r="BN7" i="3"/>
  <c r="BZ20" i="4"/>
  <c r="BY20" i="4"/>
  <c r="BX20" i="4"/>
  <c r="BW20" i="4"/>
  <c r="BV20" i="4"/>
  <c r="BU20" i="4"/>
  <c r="BT20" i="4"/>
  <c r="BS20" i="4"/>
  <c r="BR20" i="4"/>
  <c r="BM20" i="4"/>
  <c r="BL20" i="4"/>
  <c r="BK20" i="4"/>
  <c r="BJ20" i="4"/>
  <c r="BI20" i="4"/>
  <c r="BH20" i="4"/>
  <c r="BG20" i="4"/>
  <c r="BF20" i="4"/>
  <c r="BZ19" i="4"/>
  <c r="BY19" i="4"/>
  <c r="BX19" i="4"/>
  <c r="BW19" i="4"/>
  <c r="BV19" i="4"/>
  <c r="BU19" i="4"/>
  <c r="BT19" i="4"/>
  <c r="BS19" i="4"/>
  <c r="BR19" i="4"/>
  <c r="BM19" i="4"/>
  <c r="BL19" i="4"/>
  <c r="BK19" i="4"/>
  <c r="BJ19" i="4"/>
  <c r="BI19" i="4"/>
  <c r="BH19" i="4"/>
  <c r="BG19" i="4"/>
  <c r="BF19" i="4"/>
  <c r="BZ18" i="4"/>
  <c r="BY18" i="4"/>
  <c r="BX18" i="4"/>
  <c r="BW18" i="4"/>
  <c r="BV18" i="4"/>
  <c r="BU18" i="4"/>
  <c r="BT18" i="4"/>
  <c r="BS18" i="4"/>
  <c r="BR18" i="4"/>
  <c r="BM18" i="4"/>
  <c r="BL18" i="4"/>
  <c r="BK18" i="4"/>
  <c r="BJ18" i="4"/>
  <c r="BI18" i="4"/>
  <c r="BO18" i="4" s="1"/>
  <c r="BM75" i="33" s="1"/>
  <c r="BH18" i="4"/>
  <c r="BG18" i="4"/>
  <c r="BF18" i="4"/>
  <c r="BZ17" i="4"/>
  <c r="BY17" i="4"/>
  <c r="BX17" i="4"/>
  <c r="BW17" i="4"/>
  <c r="BV17" i="4"/>
  <c r="BU17" i="4"/>
  <c r="BT17" i="4"/>
  <c r="BS17" i="4"/>
  <c r="BR17" i="4"/>
  <c r="BM17" i="4"/>
  <c r="BL17" i="4"/>
  <c r="BK17" i="4"/>
  <c r="BJ17" i="4"/>
  <c r="BI17" i="4"/>
  <c r="BH17" i="4"/>
  <c r="BG17" i="4"/>
  <c r="BF17" i="4"/>
  <c r="BN17" i="4"/>
  <c r="BL74" i="33" s="1"/>
  <c r="BZ16" i="4"/>
  <c r="BY16" i="4"/>
  <c r="BX16" i="4"/>
  <c r="BW16" i="4"/>
  <c r="BV16" i="4"/>
  <c r="BU16" i="4"/>
  <c r="BT16" i="4"/>
  <c r="BS16" i="4"/>
  <c r="BR16" i="4"/>
  <c r="BM16" i="4"/>
  <c r="BL16" i="4"/>
  <c r="BK16" i="4"/>
  <c r="BJ16" i="4"/>
  <c r="BI16" i="4"/>
  <c r="BH16" i="4"/>
  <c r="BG16" i="4"/>
  <c r="BF16" i="4"/>
  <c r="BZ15" i="4"/>
  <c r="BY15" i="4"/>
  <c r="BX15" i="4"/>
  <c r="BW15" i="4"/>
  <c r="BV15" i="4"/>
  <c r="BU15" i="4"/>
  <c r="BT15" i="4"/>
  <c r="BS15" i="4"/>
  <c r="BR15" i="4"/>
  <c r="BM15" i="4"/>
  <c r="BL15" i="4"/>
  <c r="BK15" i="4"/>
  <c r="BJ15" i="4"/>
  <c r="BI15" i="4"/>
  <c r="BH15" i="4"/>
  <c r="BG15" i="4"/>
  <c r="BF15" i="4"/>
  <c r="BZ14" i="4"/>
  <c r="BY14" i="4"/>
  <c r="BX14" i="4"/>
  <c r="BW14" i="4"/>
  <c r="BV14" i="4"/>
  <c r="BU14" i="4"/>
  <c r="BT14" i="4"/>
  <c r="BS14" i="4"/>
  <c r="BR14" i="4"/>
  <c r="BM14" i="4"/>
  <c r="BL14" i="4"/>
  <c r="BK14" i="4"/>
  <c r="BJ14" i="4"/>
  <c r="BI14" i="4"/>
  <c r="BO14" i="4" s="1"/>
  <c r="BM71" i="33" s="1"/>
  <c r="BH14" i="4"/>
  <c r="BG14" i="4"/>
  <c r="BF14" i="4"/>
  <c r="BZ13" i="4"/>
  <c r="BY13" i="4"/>
  <c r="BX13" i="4"/>
  <c r="BW13" i="4"/>
  <c r="BV13" i="4"/>
  <c r="BU13" i="4"/>
  <c r="BT13" i="4"/>
  <c r="BS13" i="4"/>
  <c r="CA13" i="4" s="1"/>
  <c r="BR13" i="4"/>
  <c r="BM13" i="4"/>
  <c r="BL13" i="4"/>
  <c r="BK13" i="4"/>
  <c r="BJ13" i="4"/>
  <c r="BI13" i="4"/>
  <c r="BH13" i="4"/>
  <c r="BG13" i="4"/>
  <c r="BF13" i="4"/>
  <c r="BZ12" i="4"/>
  <c r="BY12" i="4"/>
  <c r="BX12" i="4"/>
  <c r="BW12" i="4"/>
  <c r="BV12" i="4"/>
  <c r="BU12" i="4"/>
  <c r="BT12" i="4"/>
  <c r="BS12" i="4"/>
  <c r="BR12" i="4"/>
  <c r="BM12" i="4"/>
  <c r="BL12" i="4"/>
  <c r="BK12" i="4"/>
  <c r="BJ12" i="4"/>
  <c r="BO12" i="4" s="1"/>
  <c r="BM69" i="33" s="1"/>
  <c r="BI12" i="4"/>
  <c r="BH12" i="4"/>
  <c r="BG12" i="4"/>
  <c r="BF12" i="4"/>
  <c r="BZ11" i="4"/>
  <c r="BY11" i="4"/>
  <c r="BX11" i="4"/>
  <c r="BW11" i="4"/>
  <c r="BV11" i="4"/>
  <c r="BU11" i="4"/>
  <c r="BT11" i="4"/>
  <c r="BS11" i="4"/>
  <c r="BR11" i="4"/>
  <c r="BM11" i="4"/>
  <c r="BL11" i="4"/>
  <c r="BK11" i="4"/>
  <c r="BJ11" i="4"/>
  <c r="BI11" i="4"/>
  <c r="BH11" i="4"/>
  <c r="BG11" i="4"/>
  <c r="BF11" i="4"/>
  <c r="BN11" i="4" s="1"/>
  <c r="BZ10" i="4"/>
  <c r="BY10" i="4"/>
  <c r="BX10" i="4"/>
  <c r="BW10" i="4"/>
  <c r="BV10" i="4"/>
  <c r="BU10" i="4"/>
  <c r="BT10" i="4"/>
  <c r="BS10" i="4"/>
  <c r="BR10" i="4"/>
  <c r="BM10" i="4"/>
  <c r="BL10" i="4"/>
  <c r="BK10" i="4"/>
  <c r="BJ10" i="4"/>
  <c r="BI10" i="4"/>
  <c r="BH10" i="4"/>
  <c r="BG10" i="4"/>
  <c r="BF10" i="4"/>
  <c r="BZ9" i="4"/>
  <c r="BY9" i="4"/>
  <c r="BX9" i="4"/>
  <c r="BW9" i="4"/>
  <c r="BV9" i="4"/>
  <c r="BU9" i="4"/>
  <c r="BT9" i="4"/>
  <c r="BS9" i="4"/>
  <c r="BR9" i="4"/>
  <c r="BM9" i="4"/>
  <c r="BL9" i="4"/>
  <c r="BK9" i="4"/>
  <c r="BJ9" i="4"/>
  <c r="BI9" i="4"/>
  <c r="BH9" i="4"/>
  <c r="BG9" i="4"/>
  <c r="BF9" i="4"/>
  <c r="BZ8" i="4"/>
  <c r="BY8" i="4"/>
  <c r="BX8" i="4"/>
  <c r="BW8" i="4"/>
  <c r="BV8" i="4"/>
  <c r="BU8" i="4"/>
  <c r="BT8" i="4"/>
  <c r="BS8" i="4"/>
  <c r="BR8" i="4"/>
  <c r="BM8" i="4"/>
  <c r="BL8" i="4"/>
  <c r="BK8" i="4"/>
  <c r="BJ8" i="4"/>
  <c r="BI8" i="4"/>
  <c r="BO8" i="4"/>
  <c r="BH8" i="4"/>
  <c r="BG8" i="4"/>
  <c r="BF8" i="4"/>
  <c r="BZ7" i="4"/>
  <c r="BY7" i="4"/>
  <c r="BX7" i="4"/>
  <c r="BW7" i="4"/>
  <c r="BV7" i="4"/>
  <c r="BU7" i="4"/>
  <c r="BT7" i="4"/>
  <c r="BS7" i="4"/>
  <c r="BR7" i="4"/>
  <c r="BM7" i="4"/>
  <c r="BL7" i="4"/>
  <c r="BK7" i="4"/>
  <c r="BJ7" i="4"/>
  <c r="BI7" i="4"/>
  <c r="BH7" i="4"/>
  <c r="BG7" i="4"/>
  <c r="BF7" i="4"/>
  <c r="BN7" i="4" s="1"/>
  <c r="BZ20" i="22"/>
  <c r="BY20" i="22"/>
  <c r="BX20" i="22"/>
  <c r="BW20" i="22"/>
  <c r="BV20" i="22"/>
  <c r="BU20" i="22"/>
  <c r="BT20" i="22"/>
  <c r="BS20" i="22"/>
  <c r="BR20" i="22"/>
  <c r="CA20" i="22" s="1"/>
  <c r="CB20" i="22" s="1"/>
  <c r="BM20" i="22"/>
  <c r="BL20" i="22"/>
  <c r="BK20" i="22"/>
  <c r="BJ20" i="22"/>
  <c r="BO20" i="22" s="1"/>
  <c r="BI20" i="22"/>
  <c r="BH20" i="22"/>
  <c r="BG20" i="22"/>
  <c r="BF20" i="22"/>
  <c r="BN20" i="22"/>
  <c r="BZ19" i="22"/>
  <c r="BY19" i="22"/>
  <c r="BX19" i="22"/>
  <c r="BW19" i="22"/>
  <c r="BV19" i="22"/>
  <c r="BU19" i="22"/>
  <c r="BT19" i="22"/>
  <c r="BS19" i="22"/>
  <c r="BR19" i="22"/>
  <c r="CA19" i="22"/>
  <c r="CB19" i="22" s="1"/>
  <c r="BM19" i="22"/>
  <c r="BL19" i="22"/>
  <c r="BK19" i="22"/>
  <c r="BJ19" i="22"/>
  <c r="BI19" i="22"/>
  <c r="BH19" i="22"/>
  <c r="BG19" i="22"/>
  <c r="BF19" i="22"/>
  <c r="BN19" i="22"/>
  <c r="BZ18" i="22"/>
  <c r="BY18" i="22"/>
  <c r="BX18" i="22"/>
  <c r="BW18" i="22"/>
  <c r="BV18" i="22"/>
  <c r="BU18" i="22"/>
  <c r="BT18" i="22"/>
  <c r="BS18" i="22"/>
  <c r="BR18" i="22"/>
  <c r="BM18" i="22"/>
  <c r="BL18" i="22"/>
  <c r="BK18" i="22"/>
  <c r="BJ18" i="22"/>
  <c r="BI18" i="22"/>
  <c r="BH18" i="22"/>
  <c r="BG18" i="22"/>
  <c r="BZ17" i="22"/>
  <c r="BY17" i="22"/>
  <c r="BX17" i="22"/>
  <c r="BW17" i="22"/>
  <c r="BV17" i="22"/>
  <c r="BU17" i="22"/>
  <c r="BT17" i="22"/>
  <c r="BS17" i="22"/>
  <c r="BR17" i="22"/>
  <c r="BM17" i="22"/>
  <c r="BL17" i="22"/>
  <c r="BK17" i="22"/>
  <c r="BJ17" i="22"/>
  <c r="BI17" i="22"/>
  <c r="BH17" i="22"/>
  <c r="BG17" i="22"/>
  <c r="BN17" i="22" s="1"/>
  <c r="BL81" i="33" s="1"/>
  <c r="BZ16" i="22"/>
  <c r="BY16" i="22"/>
  <c r="BX16" i="22"/>
  <c r="BW16" i="22"/>
  <c r="BV16" i="22"/>
  <c r="BU16" i="22"/>
  <c r="BT16" i="22"/>
  <c r="BS16" i="22"/>
  <c r="BR16" i="22"/>
  <c r="BM16" i="22"/>
  <c r="BL16" i="22"/>
  <c r="BK16" i="22"/>
  <c r="BJ16" i="22"/>
  <c r="BI16" i="22"/>
  <c r="BO16" i="22" s="1"/>
  <c r="BM80" i="33" s="1"/>
  <c r="BH16" i="22"/>
  <c r="BG16" i="22"/>
  <c r="BF16" i="22"/>
  <c r="BZ15" i="22"/>
  <c r="BY15" i="22"/>
  <c r="BX15" i="22"/>
  <c r="BW15" i="22"/>
  <c r="BV15" i="22"/>
  <c r="BU15" i="22"/>
  <c r="BT15" i="22"/>
  <c r="BS15" i="22"/>
  <c r="BR15" i="22"/>
  <c r="BM15" i="22"/>
  <c r="BL15" i="22"/>
  <c r="BK15" i="22"/>
  <c r="BJ15" i="22"/>
  <c r="BI15" i="22"/>
  <c r="BH15" i="22"/>
  <c r="BG15" i="22"/>
  <c r="BN15" i="22" s="1"/>
  <c r="BL79" i="33" s="1"/>
  <c r="BF15" i="22"/>
  <c r="BZ14" i="22"/>
  <c r="BY14" i="22"/>
  <c r="BX14" i="22"/>
  <c r="BW14" i="22"/>
  <c r="BV14" i="22"/>
  <c r="BU14" i="22"/>
  <c r="BT14" i="22"/>
  <c r="BS14" i="22"/>
  <c r="BR14" i="22"/>
  <c r="CA14" i="22" s="1"/>
  <c r="BM14" i="22"/>
  <c r="BL14" i="22"/>
  <c r="BK14" i="22"/>
  <c r="BJ14" i="22"/>
  <c r="BI14" i="22"/>
  <c r="BH14" i="22"/>
  <c r="BG14" i="22"/>
  <c r="BF14" i="22"/>
  <c r="BZ13" i="22"/>
  <c r="BY13" i="22"/>
  <c r="BX13" i="22"/>
  <c r="BW13" i="22"/>
  <c r="BV13" i="22"/>
  <c r="BU13" i="22"/>
  <c r="BT13" i="22"/>
  <c r="BS13" i="22"/>
  <c r="BR13" i="22"/>
  <c r="BM13" i="22"/>
  <c r="BL13" i="22"/>
  <c r="BK13" i="22"/>
  <c r="BJ13" i="22"/>
  <c r="BI13" i="22"/>
  <c r="BH13" i="22"/>
  <c r="BG13" i="22"/>
  <c r="BF13" i="22"/>
  <c r="BZ12" i="22"/>
  <c r="BY12" i="22"/>
  <c r="BX12" i="22"/>
  <c r="BW12" i="22"/>
  <c r="BV12" i="22"/>
  <c r="BU12" i="22"/>
  <c r="BT12" i="22"/>
  <c r="BS12" i="22"/>
  <c r="BR12" i="22"/>
  <c r="BM12" i="22"/>
  <c r="BL12" i="22"/>
  <c r="BK12" i="22"/>
  <c r="BJ12" i="22"/>
  <c r="BI12" i="22"/>
  <c r="BO12" i="22" s="1"/>
  <c r="BM76" i="33" s="1"/>
  <c r="BH12" i="22"/>
  <c r="BG12" i="22"/>
  <c r="BF12" i="22"/>
  <c r="BZ11" i="22"/>
  <c r="BY11" i="22"/>
  <c r="BX11" i="22"/>
  <c r="BW11" i="22"/>
  <c r="BV11" i="22"/>
  <c r="BU11" i="22"/>
  <c r="BT11" i="22"/>
  <c r="BS11" i="22"/>
  <c r="CA11" i="22" s="1"/>
  <c r="CB11" i="22" s="1"/>
  <c r="BR11" i="22"/>
  <c r="BM11" i="22"/>
  <c r="BL11" i="22"/>
  <c r="BK11" i="22"/>
  <c r="BJ11" i="22"/>
  <c r="BI11" i="22"/>
  <c r="BH11" i="22"/>
  <c r="BG11" i="22"/>
  <c r="BF11" i="22"/>
  <c r="BN11" i="22"/>
  <c r="BZ10" i="22"/>
  <c r="BY10" i="22"/>
  <c r="BX10" i="22"/>
  <c r="BW10" i="22"/>
  <c r="BV10" i="22"/>
  <c r="BU10" i="22"/>
  <c r="BT10" i="22"/>
  <c r="BS10" i="22"/>
  <c r="BR10" i="22"/>
  <c r="CA10" i="22" s="1"/>
  <c r="CB10" i="22" s="1"/>
  <c r="BM10" i="22"/>
  <c r="BL10" i="22"/>
  <c r="BK10" i="22"/>
  <c r="BJ10" i="22"/>
  <c r="BI10" i="22"/>
  <c r="BH10" i="22"/>
  <c r="BG10" i="22"/>
  <c r="BF10" i="22"/>
  <c r="BN10" i="22"/>
  <c r="BZ9" i="22"/>
  <c r="BY9" i="22"/>
  <c r="BX9" i="22"/>
  <c r="BW9" i="22"/>
  <c r="BV9" i="22"/>
  <c r="BU9" i="22"/>
  <c r="BT9" i="22"/>
  <c r="BS9" i="22"/>
  <c r="BR9" i="22"/>
  <c r="BM9" i="22"/>
  <c r="BL9" i="22"/>
  <c r="BK9" i="22"/>
  <c r="BJ9" i="22"/>
  <c r="BI9" i="22"/>
  <c r="BH9" i="22"/>
  <c r="BG9" i="22"/>
  <c r="BF9" i="22"/>
  <c r="BN9" i="22"/>
  <c r="BZ8" i="22"/>
  <c r="BY8" i="22"/>
  <c r="BX8" i="22"/>
  <c r="BW8" i="22"/>
  <c r="BV8" i="22"/>
  <c r="BU8" i="22"/>
  <c r="BT8" i="22"/>
  <c r="BS8" i="22"/>
  <c r="CA8" i="22" s="1"/>
  <c r="CB8" i="22" s="1"/>
  <c r="BR8" i="22"/>
  <c r="BM8" i="22"/>
  <c r="BL8" i="22"/>
  <c r="BK8" i="22"/>
  <c r="BJ8" i="22"/>
  <c r="BI8" i="22"/>
  <c r="BH8" i="22"/>
  <c r="BG8" i="22"/>
  <c r="BF8" i="22"/>
  <c r="BN8" i="22"/>
  <c r="BZ7" i="22"/>
  <c r="BY7" i="22"/>
  <c r="BX7" i="22"/>
  <c r="BW7" i="22"/>
  <c r="BV7" i="22"/>
  <c r="BU7" i="22"/>
  <c r="BT7" i="22"/>
  <c r="BS7" i="22"/>
  <c r="BR7" i="22"/>
  <c r="CA7" i="22"/>
  <c r="CB7" i="22" s="1"/>
  <c r="BM7" i="22"/>
  <c r="BL7" i="22"/>
  <c r="BK7" i="22"/>
  <c r="BJ7" i="22"/>
  <c r="BI7" i="22"/>
  <c r="BH7" i="22"/>
  <c r="BG7" i="22"/>
  <c r="BF7" i="22"/>
  <c r="BN7" i="22"/>
  <c r="BZ20" i="25"/>
  <c r="BY20" i="25"/>
  <c r="BX20" i="25"/>
  <c r="BW20" i="25"/>
  <c r="BV20" i="25"/>
  <c r="BU20" i="25"/>
  <c r="BT20" i="25"/>
  <c r="BS20" i="25"/>
  <c r="BR20" i="25"/>
  <c r="BM20" i="25"/>
  <c r="BL20" i="25"/>
  <c r="BK20" i="25"/>
  <c r="BJ20" i="25"/>
  <c r="BI20" i="25"/>
  <c r="BO20" i="25" s="1"/>
  <c r="BH20" i="25"/>
  <c r="BG20" i="25"/>
  <c r="BF20" i="25"/>
  <c r="BN20" i="25" s="1"/>
  <c r="BZ19" i="25"/>
  <c r="BY19" i="25"/>
  <c r="BX19" i="25"/>
  <c r="BW19" i="25"/>
  <c r="BV19" i="25"/>
  <c r="BU19" i="25"/>
  <c r="BT19" i="25"/>
  <c r="BS19" i="25"/>
  <c r="BR19" i="25"/>
  <c r="CA19" i="25" s="1"/>
  <c r="CB19" i="25" s="1"/>
  <c r="BM19" i="25"/>
  <c r="BL19" i="25"/>
  <c r="BK19" i="25"/>
  <c r="BJ19" i="25"/>
  <c r="BI19" i="25"/>
  <c r="BH19" i="25"/>
  <c r="BG19" i="25"/>
  <c r="BF19" i="25"/>
  <c r="BN19" i="25" s="1"/>
  <c r="BZ18" i="25"/>
  <c r="BY18" i="25"/>
  <c r="BX18" i="25"/>
  <c r="BW18" i="25"/>
  <c r="BV18" i="25"/>
  <c r="BU18" i="25"/>
  <c r="BT18" i="25"/>
  <c r="BS18" i="25"/>
  <c r="BR18" i="25"/>
  <c r="CA18" i="25" s="1"/>
  <c r="BL18" i="25"/>
  <c r="BK18" i="25"/>
  <c r="BJ18" i="25"/>
  <c r="BI18" i="25"/>
  <c r="BH18" i="25"/>
  <c r="BG18" i="25"/>
  <c r="BF18" i="25"/>
  <c r="BZ17" i="25"/>
  <c r="BY17" i="25"/>
  <c r="BX17" i="25"/>
  <c r="BW17" i="25"/>
  <c r="BV17" i="25"/>
  <c r="BU17" i="25"/>
  <c r="BT17" i="25"/>
  <c r="BS17" i="25"/>
  <c r="BR17" i="25"/>
  <c r="BM17" i="25"/>
  <c r="BL17" i="25"/>
  <c r="BK17" i="25"/>
  <c r="BJ17" i="25"/>
  <c r="BI17" i="25"/>
  <c r="BH17" i="25"/>
  <c r="BG17" i="25"/>
  <c r="BZ16" i="25"/>
  <c r="BY16" i="25"/>
  <c r="BX16" i="25"/>
  <c r="BW16" i="25"/>
  <c r="BV16" i="25"/>
  <c r="BU16" i="25"/>
  <c r="BT16" i="25"/>
  <c r="BS16" i="25"/>
  <c r="BR16" i="25"/>
  <c r="BM16" i="25"/>
  <c r="BL16" i="25"/>
  <c r="BK16" i="25"/>
  <c r="BJ16" i="25"/>
  <c r="BO16" i="25" s="1"/>
  <c r="BM87" i="33" s="1"/>
  <c r="BI16" i="25"/>
  <c r="BH16" i="25"/>
  <c r="BG16" i="25"/>
  <c r="BN16" i="25" s="1"/>
  <c r="BL87" i="33" s="1"/>
  <c r="BF16" i="25"/>
  <c r="BZ15" i="25"/>
  <c r="BY15" i="25"/>
  <c r="BX15" i="25"/>
  <c r="BV15" i="25"/>
  <c r="BU15" i="25"/>
  <c r="BT15" i="25"/>
  <c r="BS15" i="25"/>
  <c r="BR15" i="25"/>
  <c r="BM15" i="25"/>
  <c r="BL15" i="25"/>
  <c r="BK15" i="25"/>
  <c r="BJ15" i="25"/>
  <c r="BI15" i="25"/>
  <c r="BH15" i="25"/>
  <c r="BG15" i="25"/>
  <c r="BF15" i="25"/>
  <c r="BZ14" i="25"/>
  <c r="BY14" i="25"/>
  <c r="BX14" i="25"/>
  <c r="BW14" i="25"/>
  <c r="BV14" i="25"/>
  <c r="BU14" i="25"/>
  <c r="BT14" i="25"/>
  <c r="BS14" i="25"/>
  <c r="BR14" i="25"/>
  <c r="CA14" i="25" s="1"/>
  <c r="BL14" i="25"/>
  <c r="BK14" i="25"/>
  <c r="BJ14" i="25"/>
  <c r="BI14" i="25"/>
  <c r="BH14" i="25"/>
  <c r="BG14" i="25"/>
  <c r="BF14" i="25"/>
  <c r="BZ13" i="25"/>
  <c r="BY13" i="25"/>
  <c r="BX13" i="25"/>
  <c r="BW13" i="25"/>
  <c r="BV13" i="25"/>
  <c r="BU13" i="25"/>
  <c r="BT13" i="25"/>
  <c r="BR13" i="25"/>
  <c r="BM13" i="25"/>
  <c r="BL13" i="25"/>
  <c r="BK13" i="25"/>
  <c r="BJ13" i="25"/>
  <c r="BI13" i="25"/>
  <c r="BH13" i="25"/>
  <c r="BF13" i="25"/>
  <c r="BZ12" i="25"/>
  <c r="BY12" i="25"/>
  <c r="BX12" i="25"/>
  <c r="BV12" i="25"/>
  <c r="BU12" i="25"/>
  <c r="BT12" i="25"/>
  <c r="BS12" i="25"/>
  <c r="BR12" i="25"/>
  <c r="BM12" i="25"/>
  <c r="BL12" i="25"/>
  <c r="BK12" i="25"/>
  <c r="BJ12" i="25"/>
  <c r="BI12" i="25"/>
  <c r="BO12" i="25" s="1"/>
  <c r="BM83" i="33" s="1"/>
  <c r="BH12" i="25"/>
  <c r="BG12" i="25"/>
  <c r="BF12" i="25"/>
  <c r="BN12" i="25" s="1"/>
  <c r="BL83" i="33" s="1"/>
  <c r="BZ11" i="25"/>
  <c r="BY11" i="25"/>
  <c r="BX11" i="25"/>
  <c r="BW11" i="25"/>
  <c r="BV11" i="25"/>
  <c r="BU11" i="25"/>
  <c r="BT11" i="25"/>
  <c r="BS11" i="25"/>
  <c r="BR11" i="25"/>
  <c r="CA11" i="25" s="1"/>
  <c r="CB11" i="25" s="1"/>
  <c r="BM11" i="25"/>
  <c r="BL11" i="25"/>
  <c r="BK11" i="25"/>
  <c r="BJ11" i="25"/>
  <c r="BI11" i="25"/>
  <c r="BH11" i="25"/>
  <c r="BG11" i="25"/>
  <c r="BF11" i="25"/>
  <c r="BN11" i="25" s="1"/>
  <c r="BZ10" i="25"/>
  <c r="BY10" i="25"/>
  <c r="BX10" i="25"/>
  <c r="BW10" i="25"/>
  <c r="BV10" i="25"/>
  <c r="BU10" i="25"/>
  <c r="BT10" i="25"/>
  <c r="BS10" i="25"/>
  <c r="BR10" i="25"/>
  <c r="CA10" i="25" s="1"/>
  <c r="CB10" i="25" s="1"/>
  <c r="BM10" i="25"/>
  <c r="BL10" i="25"/>
  <c r="BK10" i="25"/>
  <c r="BJ10" i="25"/>
  <c r="BI10" i="25"/>
  <c r="BH10" i="25"/>
  <c r="BG10" i="25"/>
  <c r="BF10" i="25"/>
  <c r="BN10" i="25" s="1"/>
  <c r="BZ9" i="25"/>
  <c r="BY9" i="25"/>
  <c r="BX9" i="25"/>
  <c r="BW9" i="25"/>
  <c r="BV9" i="25"/>
  <c r="BU9" i="25"/>
  <c r="BT9" i="25"/>
  <c r="BS9" i="25"/>
  <c r="BR9" i="25"/>
  <c r="CA9" i="25" s="1"/>
  <c r="CB9" i="25" s="1"/>
  <c r="BM9" i="25"/>
  <c r="BL9" i="25"/>
  <c r="BK9" i="25"/>
  <c r="BJ9" i="25"/>
  <c r="BI9" i="25"/>
  <c r="BH9" i="25"/>
  <c r="BG9" i="25"/>
  <c r="BF9" i="25"/>
  <c r="BN9" i="25" s="1"/>
  <c r="BZ8" i="25"/>
  <c r="BY8" i="25"/>
  <c r="BX8" i="25"/>
  <c r="BW8" i="25"/>
  <c r="BV8" i="25"/>
  <c r="BU8" i="25"/>
  <c r="BT8" i="25"/>
  <c r="BS8" i="25"/>
  <c r="BR8" i="25"/>
  <c r="BM8" i="25"/>
  <c r="BL8" i="25"/>
  <c r="BK8" i="25"/>
  <c r="BJ8" i="25"/>
  <c r="BI8" i="25"/>
  <c r="BO8" i="25"/>
  <c r="BH8" i="25"/>
  <c r="BG8" i="25"/>
  <c r="BF8" i="25"/>
  <c r="BN8" i="25"/>
  <c r="BZ7" i="25"/>
  <c r="BY7" i="25"/>
  <c r="BX7" i="25"/>
  <c r="BW7" i="25"/>
  <c r="BV7" i="25"/>
  <c r="BU7" i="25"/>
  <c r="BT7" i="25"/>
  <c r="BS7" i="25"/>
  <c r="CA7" i="25" s="1"/>
  <c r="CB7" i="25" s="1"/>
  <c r="BR7" i="25"/>
  <c r="BM7" i="25"/>
  <c r="BL7" i="25"/>
  <c r="BK7" i="25"/>
  <c r="BJ7" i="25"/>
  <c r="BI7" i="25"/>
  <c r="BH7" i="25"/>
  <c r="BG7" i="25"/>
  <c r="BF7" i="25"/>
  <c r="BN7" i="25"/>
  <c r="BZ20" i="24"/>
  <c r="BY20" i="24"/>
  <c r="BX20" i="24"/>
  <c r="BW20" i="24"/>
  <c r="BV20" i="24"/>
  <c r="BU20" i="24"/>
  <c r="BT20" i="24"/>
  <c r="BS20" i="24"/>
  <c r="CA20" i="24" s="1"/>
  <c r="CB20" i="24" s="1"/>
  <c r="BR20" i="24"/>
  <c r="BM20" i="24"/>
  <c r="BL20" i="24"/>
  <c r="BK20" i="24"/>
  <c r="BJ20" i="24"/>
  <c r="BI20" i="24"/>
  <c r="BH20" i="24"/>
  <c r="BG20" i="24"/>
  <c r="BF20" i="24"/>
  <c r="BN20" i="24"/>
  <c r="BZ19" i="24"/>
  <c r="BY19" i="24"/>
  <c r="BX19" i="24"/>
  <c r="BW19" i="24"/>
  <c r="BV19" i="24"/>
  <c r="BU19" i="24"/>
  <c r="BT19" i="24"/>
  <c r="BS19" i="24"/>
  <c r="CA19" i="24" s="1"/>
  <c r="CB19" i="24" s="1"/>
  <c r="BR19" i="24"/>
  <c r="BM19" i="24"/>
  <c r="BL19" i="24"/>
  <c r="BK19" i="24"/>
  <c r="BJ19" i="24"/>
  <c r="BI19" i="24"/>
  <c r="BH19" i="24"/>
  <c r="BG19" i="24"/>
  <c r="BF19" i="24"/>
  <c r="BN19" i="24"/>
  <c r="BZ18" i="24"/>
  <c r="BY18" i="24"/>
  <c r="BX18" i="24"/>
  <c r="BW18" i="24"/>
  <c r="BV18" i="24"/>
  <c r="BU18" i="24"/>
  <c r="BT18" i="24"/>
  <c r="BS18" i="24"/>
  <c r="BR18" i="24"/>
  <c r="BM18" i="24"/>
  <c r="BL18" i="24"/>
  <c r="BK18" i="24"/>
  <c r="BJ18" i="24"/>
  <c r="BI18" i="24"/>
  <c r="BO18" i="24" s="1"/>
  <c r="BM96" i="33" s="1"/>
  <c r="BH18" i="24"/>
  <c r="BG18" i="24"/>
  <c r="BZ17" i="24"/>
  <c r="BY17" i="24"/>
  <c r="BX17" i="24"/>
  <c r="BW17" i="24"/>
  <c r="BV17" i="24"/>
  <c r="BU17" i="24"/>
  <c r="BT17" i="24"/>
  <c r="BR17" i="24"/>
  <c r="BM17" i="24"/>
  <c r="BL17" i="24"/>
  <c r="BK17" i="24"/>
  <c r="BJ17" i="24"/>
  <c r="BI17" i="24"/>
  <c r="BH17" i="24"/>
  <c r="BF17" i="24"/>
  <c r="BZ16" i="24"/>
  <c r="BY16" i="24"/>
  <c r="BX16" i="24"/>
  <c r="BW16" i="24"/>
  <c r="BV16" i="24"/>
  <c r="BU16" i="24"/>
  <c r="BT16" i="24"/>
  <c r="BR16" i="24"/>
  <c r="CA16" i="24" s="1"/>
  <c r="BM16" i="24"/>
  <c r="BL16" i="24"/>
  <c r="BK16" i="24"/>
  <c r="BJ16" i="24"/>
  <c r="BI16" i="24"/>
  <c r="BH16" i="24"/>
  <c r="BG16" i="24"/>
  <c r="BF16" i="24"/>
  <c r="BZ15" i="24"/>
  <c r="BY15" i="24"/>
  <c r="BX15" i="24"/>
  <c r="BW15" i="24"/>
  <c r="BV15" i="24"/>
  <c r="BU15" i="24"/>
  <c r="BT15" i="24"/>
  <c r="BS15" i="24"/>
  <c r="BR15" i="24"/>
  <c r="BM15" i="24"/>
  <c r="BL15" i="24"/>
  <c r="BK15" i="24"/>
  <c r="BJ15" i="24"/>
  <c r="BI15" i="24"/>
  <c r="BH15" i="24"/>
  <c r="BG15" i="24"/>
  <c r="BF15" i="24"/>
  <c r="BZ14" i="24"/>
  <c r="BY14" i="24"/>
  <c r="BX14" i="24"/>
  <c r="BW14" i="24"/>
  <c r="BV14" i="24"/>
  <c r="BU14" i="24"/>
  <c r="BT14" i="24"/>
  <c r="BS14" i="24"/>
  <c r="BR14" i="24"/>
  <c r="BM14" i="24"/>
  <c r="BL14" i="24"/>
  <c r="BK14" i="24"/>
  <c r="BJ14" i="24"/>
  <c r="BI14" i="24"/>
  <c r="BO14" i="24"/>
  <c r="BM92" i="33" s="1"/>
  <c r="BH14" i="24"/>
  <c r="BG14" i="24"/>
  <c r="BF14" i="24"/>
  <c r="BN14" i="24"/>
  <c r="BL92" i="33" s="1"/>
  <c r="BN92" i="33" s="1"/>
  <c r="BZ13" i="24"/>
  <c r="BY13" i="24"/>
  <c r="BX13" i="24"/>
  <c r="BW13" i="24"/>
  <c r="BV13" i="24"/>
  <c r="BU13" i="24"/>
  <c r="BT13" i="24"/>
  <c r="BS13" i="24"/>
  <c r="BR13" i="24"/>
  <c r="BM13" i="24"/>
  <c r="BL13" i="24"/>
  <c r="BK13" i="24"/>
  <c r="BJ13" i="24"/>
  <c r="BI13" i="24"/>
  <c r="BH13" i="24"/>
  <c r="BG13" i="24"/>
  <c r="BN13" i="24" s="1"/>
  <c r="BL91" i="33" s="1"/>
  <c r="BF13" i="24"/>
  <c r="BZ12" i="24"/>
  <c r="BY12" i="24"/>
  <c r="BX12" i="24"/>
  <c r="BW12" i="24"/>
  <c r="BV12" i="24"/>
  <c r="BU12" i="24"/>
  <c r="BT12" i="24"/>
  <c r="BS12" i="24"/>
  <c r="BR12" i="24"/>
  <c r="BM12" i="24"/>
  <c r="BL12" i="24"/>
  <c r="BK12" i="24"/>
  <c r="BJ12" i="24"/>
  <c r="BI12" i="24"/>
  <c r="BO12" i="24" s="1"/>
  <c r="BM90" i="33" s="1"/>
  <c r="BH12" i="24"/>
  <c r="BG12" i="24"/>
  <c r="BF12" i="24"/>
  <c r="BZ11" i="24"/>
  <c r="BY11" i="24"/>
  <c r="BX11" i="24"/>
  <c r="BW11" i="24"/>
  <c r="BV11" i="24"/>
  <c r="BU11" i="24"/>
  <c r="BT11" i="24"/>
  <c r="BS11" i="24"/>
  <c r="CA11" i="24" s="1"/>
  <c r="CB11" i="24" s="1"/>
  <c r="BR11" i="24"/>
  <c r="BM11" i="24"/>
  <c r="BL11" i="24"/>
  <c r="BK11" i="24"/>
  <c r="BJ11" i="24"/>
  <c r="BI11" i="24"/>
  <c r="BH11" i="24"/>
  <c r="BG11" i="24"/>
  <c r="BF11" i="24"/>
  <c r="BN11" i="24"/>
  <c r="BZ10" i="24"/>
  <c r="BY10" i="24"/>
  <c r="BX10" i="24"/>
  <c r="BW10" i="24"/>
  <c r="BV10" i="24"/>
  <c r="BU10" i="24"/>
  <c r="BT10" i="24"/>
  <c r="BS10" i="24"/>
  <c r="BR10" i="24"/>
  <c r="BM10" i="24"/>
  <c r="BL10" i="24"/>
  <c r="BK10" i="24"/>
  <c r="BJ10" i="24"/>
  <c r="BI10" i="24"/>
  <c r="BH10" i="24"/>
  <c r="BG10" i="24"/>
  <c r="BF10" i="24"/>
  <c r="BN10" i="24"/>
  <c r="BZ9" i="24"/>
  <c r="BY9" i="24"/>
  <c r="BX9" i="24"/>
  <c r="BW9" i="24"/>
  <c r="BV9" i="24"/>
  <c r="BU9" i="24"/>
  <c r="BT9" i="24"/>
  <c r="BS9" i="24"/>
  <c r="BR9" i="24"/>
  <c r="CA9" i="24"/>
  <c r="CB9" i="24" s="1"/>
  <c r="BM9" i="24"/>
  <c r="BL9" i="24"/>
  <c r="BK9" i="24"/>
  <c r="BJ9" i="24"/>
  <c r="BI9" i="24"/>
  <c r="BH9" i="24"/>
  <c r="BG9" i="24"/>
  <c r="BF9" i="24"/>
  <c r="BN9" i="24"/>
  <c r="BZ8" i="24"/>
  <c r="BY8" i="24"/>
  <c r="BX8" i="24"/>
  <c r="BW8" i="24"/>
  <c r="BV8" i="24"/>
  <c r="BU8" i="24"/>
  <c r="BT8" i="24"/>
  <c r="BS8" i="24"/>
  <c r="BR8" i="24"/>
  <c r="BM8" i="24"/>
  <c r="BL8" i="24"/>
  <c r="BK8" i="24"/>
  <c r="BJ8" i="24"/>
  <c r="BI8" i="24"/>
  <c r="BO8" i="24" s="1"/>
  <c r="BH8" i="24"/>
  <c r="BG8" i="24"/>
  <c r="BF8" i="24"/>
  <c r="BN8" i="24" s="1"/>
  <c r="BZ7" i="24"/>
  <c r="BY7" i="24"/>
  <c r="BX7" i="24"/>
  <c r="BW7" i="24"/>
  <c r="BV7" i="24"/>
  <c r="BU7" i="24"/>
  <c r="BT7" i="24"/>
  <c r="BS7" i="24"/>
  <c r="BR7" i="24"/>
  <c r="CA7" i="24" s="1"/>
  <c r="CB7" i="24" s="1"/>
  <c r="BM7" i="24"/>
  <c r="BL7" i="24"/>
  <c r="BK7" i="24"/>
  <c r="BJ7" i="24"/>
  <c r="BI7" i="24"/>
  <c r="BH7" i="24"/>
  <c r="BG7" i="24"/>
  <c r="BF7" i="24"/>
  <c r="BN7" i="24" s="1"/>
  <c r="BZ20" i="20"/>
  <c r="BY20" i="20"/>
  <c r="BX20" i="20"/>
  <c r="BW20" i="20"/>
  <c r="BV20" i="20"/>
  <c r="BU20" i="20"/>
  <c r="BT20" i="20"/>
  <c r="BS20" i="20"/>
  <c r="BR20" i="20"/>
  <c r="CA20" i="20" s="1"/>
  <c r="CB20" i="20" s="1"/>
  <c r="BM20" i="20"/>
  <c r="BL20" i="20"/>
  <c r="BK20" i="20"/>
  <c r="BO20" i="20"/>
  <c r="BJ20" i="20"/>
  <c r="BI20" i="20"/>
  <c r="BH20" i="20"/>
  <c r="BG20" i="20"/>
  <c r="BF20" i="20"/>
  <c r="BN20" i="20"/>
  <c r="BZ19" i="20"/>
  <c r="BY19" i="20"/>
  <c r="BX19" i="20"/>
  <c r="BW19" i="20"/>
  <c r="BV19" i="20"/>
  <c r="BU19" i="20"/>
  <c r="BT19" i="20"/>
  <c r="BS19" i="20"/>
  <c r="BR19" i="20"/>
  <c r="CA19" i="20"/>
  <c r="CB19" i="20" s="1"/>
  <c r="BM19" i="20"/>
  <c r="BL19" i="20"/>
  <c r="BK19" i="20"/>
  <c r="BJ19" i="20"/>
  <c r="BI19" i="20"/>
  <c r="BH19" i="20"/>
  <c r="BG19" i="20"/>
  <c r="BF19" i="20"/>
  <c r="BN19" i="20"/>
  <c r="BZ18" i="20"/>
  <c r="BY18" i="20"/>
  <c r="BX18" i="20"/>
  <c r="BW18" i="20"/>
  <c r="BV18" i="20"/>
  <c r="BU18" i="20"/>
  <c r="BT18" i="20"/>
  <c r="BS18" i="20"/>
  <c r="BR18" i="20"/>
  <c r="CA18" i="20" s="1"/>
  <c r="BM18" i="20"/>
  <c r="BL18" i="20"/>
  <c r="BK18" i="20"/>
  <c r="BJ18" i="20"/>
  <c r="BI18" i="20"/>
  <c r="BH18" i="20"/>
  <c r="BG18" i="20"/>
  <c r="BN18" i="20" s="1"/>
  <c r="BF18" i="20"/>
  <c r="BZ17" i="20"/>
  <c r="BY17" i="20"/>
  <c r="BX17" i="20"/>
  <c r="BW17" i="20"/>
  <c r="BV17" i="20"/>
  <c r="BU17" i="20"/>
  <c r="BT17" i="20"/>
  <c r="BS17" i="20"/>
  <c r="CA17" i="20"/>
  <c r="BY102" i="33" s="1"/>
  <c r="BZ102" i="33" s="1"/>
  <c r="BR17" i="20"/>
  <c r="BM17" i="20"/>
  <c r="BL17" i="20"/>
  <c r="BK17" i="20"/>
  <c r="BJ17" i="20"/>
  <c r="BI17" i="20"/>
  <c r="BO17" i="20"/>
  <c r="BM102" i="33" s="1"/>
  <c r="BH17" i="20"/>
  <c r="BG17" i="20"/>
  <c r="BF17" i="20"/>
  <c r="BN17" i="20"/>
  <c r="BL102" i="33" s="1"/>
  <c r="BN102" i="33" s="1"/>
  <c r="BZ16" i="20"/>
  <c r="BY16" i="20"/>
  <c r="BX16" i="20"/>
  <c r="BW16" i="20"/>
  <c r="BV16" i="20"/>
  <c r="BU16" i="20"/>
  <c r="BT16" i="20"/>
  <c r="BS16" i="20"/>
  <c r="CA16" i="20" s="1"/>
  <c r="BR16" i="20"/>
  <c r="BM16" i="20"/>
  <c r="BL16" i="20"/>
  <c r="BK16" i="20"/>
  <c r="BJ16" i="20"/>
  <c r="BO16" i="20"/>
  <c r="BM101" i="33" s="1"/>
  <c r="BI16" i="20"/>
  <c r="BH16" i="20"/>
  <c r="BG16" i="20"/>
  <c r="BF16" i="20"/>
  <c r="BN16" i="20" s="1"/>
  <c r="BZ15" i="20"/>
  <c r="BY15" i="20"/>
  <c r="BX15" i="20"/>
  <c r="BW15" i="20"/>
  <c r="BV15" i="20"/>
  <c r="BU15" i="20"/>
  <c r="BT15" i="20"/>
  <c r="BS15" i="20"/>
  <c r="BR15" i="20"/>
  <c r="BM15" i="20"/>
  <c r="BL15" i="20"/>
  <c r="BK15" i="20"/>
  <c r="BJ15" i="20"/>
  <c r="BI15" i="20"/>
  <c r="BH15" i="20"/>
  <c r="BG15" i="20"/>
  <c r="BF15" i="20"/>
  <c r="BN15" i="20"/>
  <c r="BL100" i="33" s="1"/>
  <c r="BZ14" i="20"/>
  <c r="BY14" i="20"/>
  <c r="BX14" i="20"/>
  <c r="BW14" i="20"/>
  <c r="BV14" i="20"/>
  <c r="BU14" i="20"/>
  <c r="CA14" i="20" s="1"/>
  <c r="BT14" i="20"/>
  <c r="BS14" i="20"/>
  <c r="BR14" i="20"/>
  <c r="BM14" i="20"/>
  <c r="BL14" i="20"/>
  <c r="BK14" i="20"/>
  <c r="BJ14" i="20"/>
  <c r="BI14" i="20"/>
  <c r="BH14" i="20"/>
  <c r="BG14" i="20"/>
  <c r="BF14" i="20"/>
  <c r="BN14" i="20"/>
  <c r="BL99" i="33" s="1"/>
  <c r="BZ13" i="20"/>
  <c r="BY13" i="20"/>
  <c r="BX13" i="20"/>
  <c r="BW13" i="20"/>
  <c r="BV13" i="20"/>
  <c r="BU13" i="20"/>
  <c r="CA13" i="20" s="1"/>
  <c r="BT13" i="20"/>
  <c r="BS13" i="20"/>
  <c r="BR13" i="20"/>
  <c r="BM13" i="20"/>
  <c r="BL13" i="20"/>
  <c r="BK13" i="20"/>
  <c r="BJ13" i="20"/>
  <c r="BI13" i="20"/>
  <c r="BO13" i="20" s="1"/>
  <c r="BM98" i="33" s="1"/>
  <c r="BH13" i="20"/>
  <c r="BG13" i="20"/>
  <c r="BZ12" i="20"/>
  <c r="BY12" i="20"/>
  <c r="BW12" i="20"/>
  <c r="BV12" i="20"/>
  <c r="BU12" i="20"/>
  <c r="BT12" i="20"/>
  <c r="BS12" i="20"/>
  <c r="BR12" i="20"/>
  <c r="BM12" i="20"/>
  <c r="BL12" i="20"/>
  <c r="BK12" i="20"/>
  <c r="BJ12" i="20"/>
  <c r="BI12" i="20"/>
  <c r="BO12" i="20" s="1"/>
  <c r="BM97" i="33" s="1"/>
  <c r="BH12" i="20"/>
  <c r="BG12" i="20"/>
  <c r="BF12" i="20"/>
  <c r="BN12" i="20" s="1"/>
  <c r="BL97" i="33" s="1"/>
  <c r="BZ11" i="20"/>
  <c r="BY11" i="20"/>
  <c r="BX11" i="20"/>
  <c r="BW11" i="20"/>
  <c r="BV11" i="20"/>
  <c r="BU11" i="20"/>
  <c r="BT11" i="20"/>
  <c r="BS11" i="20"/>
  <c r="BR11" i="20"/>
  <c r="BM11" i="20"/>
  <c r="BL11" i="20"/>
  <c r="BK11" i="20"/>
  <c r="BJ11" i="20"/>
  <c r="BI11" i="20"/>
  <c r="BO11" i="20" s="1"/>
  <c r="BH11" i="20"/>
  <c r="BG11" i="20"/>
  <c r="BF11" i="20"/>
  <c r="BN11" i="20"/>
  <c r="BZ10" i="20"/>
  <c r="BY10" i="20"/>
  <c r="BX10" i="20"/>
  <c r="BW10" i="20"/>
  <c r="BV10" i="20"/>
  <c r="BU10" i="20"/>
  <c r="BT10" i="20"/>
  <c r="BS10" i="20"/>
  <c r="BR10" i="20"/>
  <c r="CA10" i="20" s="1"/>
  <c r="CB10" i="20" s="1"/>
  <c r="BM10" i="20"/>
  <c r="BL10" i="20"/>
  <c r="BK10" i="20"/>
  <c r="BJ10" i="20"/>
  <c r="BI10" i="20"/>
  <c r="BH10" i="20"/>
  <c r="BG10" i="20"/>
  <c r="BF10" i="20"/>
  <c r="BZ9" i="20"/>
  <c r="BY9" i="20"/>
  <c r="BX9" i="20"/>
  <c r="BW9" i="20"/>
  <c r="BV9" i="20"/>
  <c r="BU9" i="20"/>
  <c r="BT9" i="20"/>
  <c r="BS9" i="20"/>
  <c r="BR9" i="20"/>
  <c r="BM9" i="20"/>
  <c r="BL9" i="20"/>
  <c r="BK9" i="20"/>
  <c r="BJ9" i="20"/>
  <c r="BO9" i="20" s="1"/>
  <c r="BI9" i="20"/>
  <c r="BH9" i="20"/>
  <c r="BG9" i="20"/>
  <c r="BF9" i="20"/>
  <c r="BN9" i="20"/>
  <c r="BZ7" i="20"/>
  <c r="BY7" i="20"/>
  <c r="BX7" i="20"/>
  <c r="BW7" i="20"/>
  <c r="BV7" i="20"/>
  <c r="BU7" i="20"/>
  <c r="BT7" i="20"/>
  <c r="BS7" i="20"/>
  <c r="BR7" i="20"/>
  <c r="BM7" i="20"/>
  <c r="BL7" i="20"/>
  <c r="BK7" i="20"/>
  <c r="BJ7" i="20"/>
  <c r="BI7" i="20"/>
  <c r="BO7" i="20" s="1"/>
  <c r="BH7" i="20"/>
  <c r="BG7" i="20"/>
  <c r="BF7" i="20"/>
  <c r="BN7" i="20" s="1"/>
  <c r="BP7" i="20" s="1"/>
  <c r="BZ20" i="6"/>
  <c r="BY20" i="6"/>
  <c r="BX20" i="6"/>
  <c r="BW20" i="6"/>
  <c r="BV20" i="6"/>
  <c r="BU20" i="6"/>
  <c r="BT20" i="6"/>
  <c r="BS20" i="6"/>
  <c r="BR20" i="6"/>
  <c r="BM20" i="6"/>
  <c r="BL20" i="6"/>
  <c r="BK20" i="6"/>
  <c r="BJ20" i="6"/>
  <c r="BI20" i="6"/>
  <c r="BH20" i="6"/>
  <c r="BG20" i="6"/>
  <c r="BF20" i="6"/>
  <c r="BN20" i="6"/>
  <c r="BZ19" i="6"/>
  <c r="BY19" i="6"/>
  <c r="BX19" i="6"/>
  <c r="BW19" i="6"/>
  <c r="BV19" i="6"/>
  <c r="BU19" i="6"/>
  <c r="BT19" i="6"/>
  <c r="BS19" i="6"/>
  <c r="CA19" i="6" s="1"/>
  <c r="CB19" i="6" s="1"/>
  <c r="BR19" i="6"/>
  <c r="BM19" i="6"/>
  <c r="BL19" i="6"/>
  <c r="BK19" i="6"/>
  <c r="BJ19" i="6"/>
  <c r="BI19" i="6"/>
  <c r="BO19" i="6" s="1"/>
  <c r="BH19" i="6"/>
  <c r="BG19" i="6"/>
  <c r="BF19" i="6"/>
  <c r="BZ18" i="6"/>
  <c r="BY18" i="6"/>
  <c r="BX18" i="6"/>
  <c r="BW18" i="6"/>
  <c r="BV18" i="6"/>
  <c r="BU18" i="6"/>
  <c r="BT18" i="6"/>
  <c r="BS18" i="6"/>
  <c r="CA18" i="6" s="1"/>
  <c r="BR18" i="6"/>
  <c r="BM18" i="6"/>
  <c r="BL18" i="6"/>
  <c r="BK18" i="6"/>
  <c r="BJ18" i="6"/>
  <c r="BI18" i="6"/>
  <c r="BH18" i="6"/>
  <c r="BG18" i="6"/>
  <c r="BF18" i="6"/>
  <c r="BZ17" i="6"/>
  <c r="BY17" i="6"/>
  <c r="BX17" i="6"/>
  <c r="BW17" i="6"/>
  <c r="BV17" i="6"/>
  <c r="BU17" i="6"/>
  <c r="BT17" i="6"/>
  <c r="BS17" i="6"/>
  <c r="BR17" i="6"/>
  <c r="BM17" i="6"/>
  <c r="BL17" i="6"/>
  <c r="BK17" i="6"/>
  <c r="BJ17" i="6"/>
  <c r="BO17" i="6" s="1"/>
  <c r="BM109" i="33" s="1"/>
  <c r="BI17" i="6"/>
  <c r="BH17" i="6"/>
  <c r="BG17" i="6"/>
  <c r="BF17" i="6"/>
  <c r="BZ16" i="6"/>
  <c r="BY16" i="6"/>
  <c r="BX16" i="6"/>
  <c r="BW16" i="6"/>
  <c r="BV16" i="6"/>
  <c r="BU16" i="6"/>
  <c r="BT16" i="6"/>
  <c r="BS16" i="6"/>
  <c r="BR16" i="6"/>
  <c r="CA16" i="6" s="1"/>
  <c r="BM16" i="6"/>
  <c r="BL16" i="6"/>
  <c r="BK16" i="6"/>
  <c r="BJ16" i="6"/>
  <c r="BI16" i="6"/>
  <c r="BH16" i="6"/>
  <c r="BG16" i="6"/>
  <c r="BF16" i="6"/>
  <c r="BZ15" i="6"/>
  <c r="BY15" i="6"/>
  <c r="BX15" i="6"/>
  <c r="BW15" i="6"/>
  <c r="BV15" i="6"/>
  <c r="BU15" i="6"/>
  <c r="BT15" i="6"/>
  <c r="BS15" i="6"/>
  <c r="BR15" i="6"/>
  <c r="CA15" i="6" s="1"/>
  <c r="BM15" i="6"/>
  <c r="BL15" i="6"/>
  <c r="BK15" i="6"/>
  <c r="BJ15" i="6"/>
  <c r="BI15" i="6"/>
  <c r="BH15" i="6"/>
  <c r="BG15" i="6"/>
  <c r="BF15" i="6"/>
  <c r="BZ14" i="6"/>
  <c r="BY14" i="6"/>
  <c r="BX14" i="6"/>
  <c r="BW14" i="6"/>
  <c r="BV14" i="6"/>
  <c r="BU14" i="6"/>
  <c r="BT14" i="6"/>
  <c r="BS14" i="6"/>
  <c r="BR14" i="6"/>
  <c r="BM14" i="6"/>
  <c r="BL14" i="6"/>
  <c r="BK14" i="6"/>
  <c r="BJ14" i="6"/>
  <c r="BI14" i="6"/>
  <c r="BH14" i="6"/>
  <c r="BG14" i="6"/>
  <c r="BF14" i="6"/>
  <c r="BN14" i="6" s="1"/>
  <c r="BL106" i="33" s="1"/>
  <c r="BZ13" i="6"/>
  <c r="BY13" i="6"/>
  <c r="BX13" i="6"/>
  <c r="BW13" i="6"/>
  <c r="BV13" i="6"/>
  <c r="BU13" i="6"/>
  <c r="BT13" i="6"/>
  <c r="BS13" i="6"/>
  <c r="BR13" i="6"/>
  <c r="CA13" i="6" s="1"/>
  <c r="BM13" i="6"/>
  <c r="BL13" i="6"/>
  <c r="BK13" i="6"/>
  <c r="BJ13" i="6"/>
  <c r="BO13" i="6" s="1"/>
  <c r="BM105" i="33" s="1"/>
  <c r="BI13" i="6"/>
  <c r="BH13" i="6"/>
  <c r="BG13" i="6"/>
  <c r="BF13" i="6"/>
  <c r="BZ12" i="6"/>
  <c r="BY12" i="6"/>
  <c r="BX12" i="6"/>
  <c r="BW12" i="6"/>
  <c r="BV12" i="6"/>
  <c r="BU12" i="6"/>
  <c r="BT12" i="6"/>
  <c r="BS12" i="6"/>
  <c r="BR12" i="6"/>
  <c r="CA12" i="6" s="1"/>
  <c r="BM12" i="6"/>
  <c r="BL12" i="6"/>
  <c r="BK12" i="6"/>
  <c r="BJ12" i="6"/>
  <c r="BI12" i="6"/>
  <c r="BH12" i="6"/>
  <c r="BG12" i="6"/>
  <c r="BF12" i="6"/>
  <c r="BZ11" i="6"/>
  <c r="BY11" i="6"/>
  <c r="BX11" i="6"/>
  <c r="BW11" i="6"/>
  <c r="BV11" i="6"/>
  <c r="BU11" i="6"/>
  <c r="BT11" i="6"/>
  <c r="BS11" i="6"/>
  <c r="BR11" i="6"/>
  <c r="BM11" i="6"/>
  <c r="BL11" i="6"/>
  <c r="BK11" i="6"/>
  <c r="BJ11" i="6"/>
  <c r="BI11" i="6"/>
  <c r="BH11" i="6"/>
  <c r="BG11" i="6"/>
  <c r="BF11" i="6"/>
  <c r="BZ10" i="6"/>
  <c r="BY10" i="6"/>
  <c r="BX10" i="6"/>
  <c r="BW10" i="6"/>
  <c r="BV10" i="6"/>
  <c r="BU10" i="6"/>
  <c r="BT10" i="6"/>
  <c r="BS10" i="6"/>
  <c r="BR10" i="6"/>
  <c r="CA10" i="6" s="1"/>
  <c r="CB10" i="6" s="1"/>
  <c r="BM10" i="6"/>
  <c r="BL10" i="6"/>
  <c r="BK10" i="6"/>
  <c r="BJ10" i="6"/>
  <c r="BI10" i="6"/>
  <c r="BH10" i="6"/>
  <c r="BG10" i="6"/>
  <c r="BF10" i="6"/>
  <c r="BN10" i="6" s="1"/>
  <c r="BZ9" i="6"/>
  <c r="BY9" i="6"/>
  <c r="BX9" i="6"/>
  <c r="BW9" i="6"/>
  <c r="BV9" i="6"/>
  <c r="BU9" i="6"/>
  <c r="BT9" i="6"/>
  <c r="BS9" i="6"/>
  <c r="BR9" i="6"/>
  <c r="CA9" i="6" s="1"/>
  <c r="CB9" i="6" s="1"/>
  <c r="BM9" i="6"/>
  <c r="BL9" i="6"/>
  <c r="BK9" i="6"/>
  <c r="BJ9" i="6"/>
  <c r="BO9" i="6" s="1"/>
  <c r="BI9" i="6"/>
  <c r="BH9" i="6"/>
  <c r="BG9" i="6"/>
  <c r="BF9" i="6"/>
  <c r="BZ8" i="6"/>
  <c r="BY8" i="6"/>
  <c r="BX8" i="6"/>
  <c r="BW8" i="6"/>
  <c r="BV8" i="6"/>
  <c r="BU8" i="6"/>
  <c r="BT8" i="6"/>
  <c r="BS8" i="6"/>
  <c r="BR8" i="6"/>
  <c r="CA8" i="6" s="1"/>
  <c r="CB8" i="6" s="1"/>
  <c r="BM8" i="6"/>
  <c r="BL8" i="6"/>
  <c r="BK8" i="6"/>
  <c r="BJ8" i="6"/>
  <c r="BI8" i="6"/>
  <c r="BH8" i="6"/>
  <c r="BG8" i="6"/>
  <c r="BF8" i="6"/>
  <c r="BZ7" i="6"/>
  <c r="BY7" i="6"/>
  <c r="BX7" i="6"/>
  <c r="BW7" i="6"/>
  <c r="BV7" i="6"/>
  <c r="BU7" i="6"/>
  <c r="BT7" i="6"/>
  <c r="BS7" i="6"/>
  <c r="BR7" i="6"/>
  <c r="CA7" i="6" s="1"/>
  <c r="CB7" i="6" s="1"/>
  <c r="BM7" i="6"/>
  <c r="BL7" i="6"/>
  <c r="BK7" i="6"/>
  <c r="BJ7" i="6"/>
  <c r="BI7" i="6"/>
  <c r="BH7" i="6"/>
  <c r="BG7" i="6"/>
  <c r="BF7" i="6"/>
  <c r="BZ20" i="8"/>
  <c r="BY20" i="8"/>
  <c r="BX20" i="8"/>
  <c r="BW20" i="8"/>
  <c r="BV20" i="8"/>
  <c r="BU20" i="8"/>
  <c r="BT20" i="8"/>
  <c r="BS20" i="8"/>
  <c r="BR20" i="8"/>
  <c r="BM20" i="8"/>
  <c r="BL20" i="8"/>
  <c r="BK20" i="8"/>
  <c r="BJ20" i="8"/>
  <c r="BI20" i="8"/>
  <c r="BH20" i="8"/>
  <c r="BG20" i="8"/>
  <c r="BF20" i="8"/>
  <c r="BN20" i="8" s="1"/>
  <c r="BZ19" i="8"/>
  <c r="BY19" i="8"/>
  <c r="BX19" i="8"/>
  <c r="BW19" i="8"/>
  <c r="BV19" i="8"/>
  <c r="BU19" i="8"/>
  <c r="BT19" i="8"/>
  <c r="BS19" i="8"/>
  <c r="BR19" i="8"/>
  <c r="BM19" i="8"/>
  <c r="BL19" i="8"/>
  <c r="BK19" i="8"/>
  <c r="BJ19" i="8"/>
  <c r="BI19" i="8"/>
  <c r="BO19" i="8"/>
  <c r="BH19" i="8"/>
  <c r="BG19" i="8"/>
  <c r="BF19" i="8"/>
  <c r="BZ18" i="8"/>
  <c r="BY18" i="8"/>
  <c r="BX18" i="8"/>
  <c r="BW18" i="8"/>
  <c r="BV18" i="8"/>
  <c r="BU18" i="8"/>
  <c r="BT18" i="8"/>
  <c r="BS18" i="8"/>
  <c r="CA18" i="8"/>
  <c r="BY117" i="33" s="1"/>
  <c r="BZ117" i="33" s="1"/>
  <c r="BR18" i="8"/>
  <c r="BM18" i="8"/>
  <c r="BL18" i="8"/>
  <c r="BK18" i="8"/>
  <c r="BJ18" i="8"/>
  <c r="BI18" i="8"/>
  <c r="BH18" i="8"/>
  <c r="BG18" i="8"/>
  <c r="BF18" i="8"/>
  <c r="BZ17" i="8"/>
  <c r="BY17" i="8"/>
  <c r="BX17" i="8"/>
  <c r="BW17" i="8"/>
  <c r="BV17" i="8"/>
  <c r="BU17" i="8"/>
  <c r="BT17" i="8"/>
  <c r="BS17" i="8"/>
  <c r="BR17" i="8"/>
  <c r="BM17" i="8"/>
  <c r="BL17" i="8"/>
  <c r="BK17" i="8"/>
  <c r="BJ17" i="8"/>
  <c r="BI17" i="8"/>
  <c r="BO17" i="8" s="1"/>
  <c r="BM116" i="33" s="1"/>
  <c r="BH17" i="8"/>
  <c r="BG17" i="8"/>
  <c r="BF17" i="8"/>
  <c r="BZ16" i="8"/>
  <c r="BY16" i="8"/>
  <c r="BX16" i="8"/>
  <c r="BW16" i="8"/>
  <c r="BV16" i="8"/>
  <c r="BU16" i="8"/>
  <c r="BT16" i="8"/>
  <c r="BS16" i="8"/>
  <c r="CA16" i="8" s="1"/>
  <c r="BR16" i="8"/>
  <c r="BM16" i="8"/>
  <c r="BL16" i="8"/>
  <c r="BK16" i="8"/>
  <c r="BJ16" i="8"/>
  <c r="BI16" i="8"/>
  <c r="BH16" i="8"/>
  <c r="BG16" i="8"/>
  <c r="BF16" i="8"/>
  <c r="BZ15" i="8"/>
  <c r="BY15" i="8"/>
  <c r="BX15" i="8"/>
  <c r="BW15" i="8"/>
  <c r="BV15" i="8"/>
  <c r="BU15" i="8"/>
  <c r="BT15" i="8"/>
  <c r="BS15" i="8"/>
  <c r="BR15" i="8"/>
  <c r="BM15" i="8"/>
  <c r="BL15" i="8"/>
  <c r="BK15" i="8"/>
  <c r="BJ15" i="8"/>
  <c r="BO15" i="8" s="1"/>
  <c r="BM114" i="33" s="1"/>
  <c r="BI15" i="8"/>
  <c r="BH15" i="8"/>
  <c r="BG15" i="8"/>
  <c r="BF15" i="8"/>
  <c r="BZ14" i="8"/>
  <c r="BY14" i="8"/>
  <c r="BX14" i="8"/>
  <c r="BW14" i="8"/>
  <c r="BV14" i="8"/>
  <c r="BU14" i="8"/>
  <c r="BT14" i="8"/>
  <c r="BS14" i="8"/>
  <c r="BR14" i="8"/>
  <c r="CA14" i="8" s="1"/>
  <c r="BM14" i="8"/>
  <c r="BL14" i="8"/>
  <c r="BK14" i="8"/>
  <c r="BJ14" i="8"/>
  <c r="BI14" i="8"/>
  <c r="BH14" i="8"/>
  <c r="BG14" i="8"/>
  <c r="BF14" i="8"/>
  <c r="BN14" i="8" s="1"/>
  <c r="BL113" i="33" s="1"/>
  <c r="BZ13" i="8"/>
  <c r="BY13" i="8"/>
  <c r="BX13" i="8"/>
  <c r="BW13" i="8"/>
  <c r="BV13" i="8"/>
  <c r="BU13" i="8"/>
  <c r="BT13" i="8"/>
  <c r="BS13" i="8"/>
  <c r="BR13" i="8"/>
  <c r="BM13" i="8"/>
  <c r="BL13" i="8"/>
  <c r="BK13" i="8"/>
  <c r="BJ13" i="8"/>
  <c r="BI13" i="8"/>
  <c r="BO13" i="8"/>
  <c r="BM112" i="33" s="1"/>
  <c r="BH13" i="8"/>
  <c r="BG13" i="8"/>
  <c r="BF13" i="8"/>
  <c r="BZ12" i="8"/>
  <c r="BY12" i="8"/>
  <c r="BX12" i="8"/>
  <c r="BW12" i="8"/>
  <c r="BV12" i="8"/>
  <c r="BU12" i="8"/>
  <c r="BT12" i="8"/>
  <c r="BS12" i="8"/>
  <c r="CA12" i="8"/>
  <c r="BY111" i="33" s="1"/>
  <c r="BZ111" i="33" s="1"/>
  <c r="BR12" i="8"/>
  <c r="BM12" i="8"/>
  <c r="BL12" i="8"/>
  <c r="BK12" i="8"/>
  <c r="BJ12" i="8"/>
  <c r="BI12" i="8"/>
  <c r="BH12" i="8"/>
  <c r="BG12" i="8"/>
  <c r="BF12" i="8"/>
  <c r="BN12" i="8" s="1"/>
  <c r="BL111" i="33" s="1"/>
  <c r="BZ11" i="8"/>
  <c r="BY11" i="8"/>
  <c r="BX11" i="8"/>
  <c r="BW11" i="8"/>
  <c r="BV11" i="8"/>
  <c r="BU11" i="8"/>
  <c r="BT11" i="8"/>
  <c r="BS11" i="8"/>
  <c r="CA11" i="8"/>
  <c r="CB11" i="8" s="1"/>
  <c r="BR11" i="8"/>
  <c r="BM11" i="8"/>
  <c r="BL11" i="8"/>
  <c r="BK11" i="8"/>
  <c r="BJ11" i="8"/>
  <c r="BI11" i="8"/>
  <c r="BO11" i="8"/>
  <c r="BH11" i="8"/>
  <c r="BG11" i="8"/>
  <c r="BF11" i="8"/>
  <c r="BZ10" i="8"/>
  <c r="BY10" i="8"/>
  <c r="BX10" i="8"/>
  <c r="BW10" i="8"/>
  <c r="BV10" i="8"/>
  <c r="BU10" i="8"/>
  <c r="BT10" i="8"/>
  <c r="BS10" i="8"/>
  <c r="CA10" i="8"/>
  <c r="CB10" i="8" s="1"/>
  <c r="BR10" i="8"/>
  <c r="BM10" i="8"/>
  <c r="BL10" i="8"/>
  <c r="BK10" i="8"/>
  <c r="BJ10" i="8"/>
  <c r="BI10" i="8"/>
  <c r="BH10" i="8"/>
  <c r="BG10" i="8"/>
  <c r="BF10" i="8"/>
  <c r="BN10" i="8" s="1"/>
  <c r="BZ9" i="8"/>
  <c r="BY9" i="8"/>
  <c r="BX9" i="8"/>
  <c r="BW9" i="8"/>
  <c r="BV9" i="8"/>
  <c r="BU9" i="8"/>
  <c r="BT9" i="8"/>
  <c r="BS9" i="8"/>
  <c r="BR9" i="8"/>
  <c r="BM9" i="8"/>
  <c r="BL9" i="8"/>
  <c r="BK9" i="8"/>
  <c r="BJ9" i="8"/>
  <c r="BO9" i="8" s="1"/>
  <c r="BI9" i="8"/>
  <c r="BH9" i="8"/>
  <c r="BG9" i="8"/>
  <c r="BF9" i="8"/>
  <c r="BZ8" i="8"/>
  <c r="BY8" i="8"/>
  <c r="BX8" i="8"/>
  <c r="BW8" i="8"/>
  <c r="BV8" i="8"/>
  <c r="BU8" i="8"/>
  <c r="BT8" i="8"/>
  <c r="BS8" i="8"/>
  <c r="BR8" i="8"/>
  <c r="CA8" i="8" s="1"/>
  <c r="CB8" i="8" s="1"/>
  <c r="BM8" i="8"/>
  <c r="BL8" i="8"/>
  <c r="BK8" i="8"/>
  <c r="BJ8" i="8"/>
  <c r="BI8" i="8"/>
  <c r="BH8" i="8"/>
  <c r="BG8" i="8"/>
  <c r="BF8" i="8"/>
  <c r="BN8" i="8" s="1"/>
  <c r="BZ7" i="8"/>
  <c r="BY7" i="8"/>
  <c r="BX7" i="8"/>
  <c r="BW7" i="8"/>
  <c r="BV7" i="8"/>
  <c r="BU7" i="8"/>
  <c r="BT7" i="8"/>
  <c r="BS7" i="8"/>
  <c r="BR7" i="8"/>
  <c r="CA7" i="8" s="1"/>
  <c r="CB7" i="8" s="1"/>
  <c r="BM7" i="8"/>
  <c r="BL7" i="8"/>
  <c r="BK7" i="8"/>
  <c r="BJ7" i="8"/>
  <c r="BO7" i="8" s="1"/>
  <c r="BI7" i="8"/>
  <c r="BH7" i="8"/>
  <c r="BG7" i="8"/>
  <c r="BF7" i="8"/>
  <c r="BZ20" i="19"/>
  <c r="BY20" i="19"/>
  <c r="BX20" i="19"/>
  <c r="BW20" i="19"/>
  <c r="BV20" i="19"/>
  <c r="BU20" i="19"/>
  <c r="BT20" i="19"/>
  <c r="BS20" i="19"/>
  <c r="BR20" i="19"/>
  <c r="CA20" i="19" s="1"/>
  <c r="CB20" i="19" s="1"/>
  <c r="BM20" i="19"/>
  <c r="BL20" i="19"/>
  <c r="BK20" i="19"/>
  <c r="BJ20" i="19"/>
  <c r="BI20" i="19"/>
  <c r="BH20" i="19"/>
  <c r="BG20" i="19"/>
  <c r="BF20" i="19"/>
  <c r="BN20" i="19" s="1"/>
  <c r="BZ19" i="19"/>
  <c r="BY19" i="19"/>
  <c r="BX19" i="19"/>
  <c r="BW19" i="19"/>
  <c r="BV19" i="19"/>
  <c r="BU19" i="19"/>
  <c r="BT19" i="19"/>
  <c r="BS19" i="19"/>
  <c r="BR19" i="19"/>
  <c r="BM19" i="19"/>
  <c r="BL19" i="19"/>
  <c r="BK19" i="19"/>
  <c r="BJ19" i="19"/>
  <c r="BI19" i="19"/>
  <c r="BO19" i="19"/>
  <c r="BH19" i="19"/>
  <c r="BG19" i="19"/>
  <c r="BF19" i="19"/>
  <c r="BN19" i="19"/>
  <c r="BZ18" i="19"/>
  <c r="BY18" i="19"/>
  <c r="BW18" i="19"/>
  <c r="BV18" i="19"/>
  <c r="BU18" i="19"/>
  <c r="BT18" i="19"/>
  <c r="BS18" i="19"/>
  <c r="BR18" i="19"/>
  <c r="BM18" i="19"/>
  <c r="BL18" i="19"/>
  <c r="BK18" i="19"/>
  <c r="BJ18" i="19"/>
  <c r="BI18" i="19"/>
  <c r="BH18" i="19"/>
  <c r="BG18" i="19"/>
  <c r="BF18" i="19"/>
  <c r="BN18" i="19" s="1"/>
  <c r="BL124" i="33" s="1"/>
  <c r="BZ17" i="19"/>
  <c r="BY17" i="19"/>
  <c r="BX17" i="19"/>
  <c r="BW17" i="19"/>
  <c r="BV17" i="19"/>
  <c r="BU17" i="19"/>
  <c r="BT17" i="19"/>
  <c r="BS17" i="19"/>
  <c r="BR17" i="19"/>
  <c r="CA17" i="19" s="1"/>
  <c r="BM17" i="19"/>
  <c r="BL17" i="19"/>
  <c r="BK17" i="19"/>
  <c r="BJ17" i="19"/>
  <c r="BH17" i="19"/>
  <c r="BG17" i="19"/>
  <c r="BF17" i="19"/>
  <c r="BN17" i="19"/>
  <c r="BL123" i="33" s="1"/>
  <c r="BZ16" i="19"/>
  <c r="BY16" i="19"/>
  <c r="BX16" i="19"/>
  <c r="BV16" i="19"/>
  <c r="BU16" i="19"/>
  <c r="BT16" i="19"/>
  <c r="BS16" i="19"/>
  <c r="BR16" i="19"/>
  <c r="BM16" i="19"/>
  <c r="BL16" i="19"/>
  <c r="BK16" i="19"/>
  <c r="BJ16" i="19"/>
  <c r="BI16" i="19"/>
  <c r="BH16" i="19"/>
  <c r="BG16" i="19"/>
  <c r="BF16" i="19"/>
  <c r="BN16" i="19" s="1"/>
  <c r="BL122" i="33" s="1"/>
  <c r="BZ15" i="19"/>
  <c r="BY15" i="19"/>
  <c r="BX15" i="19"/>
  <c r="BW15" i="19"/>
  <c r="BV15" i="19"/>
  <c r="BU15" i="19"/>
  <c r="BT15" i="19"/>
  <c r="BS15" i="19"/>
  <c r="BR15" i="19"/>
  <c r="CA15" i="19" s="1"/>
  <c r="BM15" i="19"/>
  <c r="BL15" i="19"/>
  <c r="BK15" i="19"/>
  <c r="BJ15" i="19"/>
  <c r="BI15" i="19"/>
  <c r="BH15" i="19"/>
  <c r="BG15" i="19"/>
  <c r="BF15" i="19"/>
  <c r="BN15" i="19" s="1"/>
  <c r="BL121" i="33" s="1"/>
  <c r="BZ14" i="19"/>
  <c r="BY14" i="19"/>
  <c r="BX14" i="19"/>
  <c r="BW14" i="19"/>
  <c r="BV14" i="19"/>
  <c r="BU14" i="19"/>
  <c r="BT14" i="19"/>
  <c r="BS14" i="19"/>
  <c r="BR14" i="19"/>
  <c r="BM14" i="19"/>
  <c r="BL14" i="19"/>
  <c r="BK14" i="19"/>
  <c r="BJ14" i="19"/>
  <c r="BI14" i="19"/>
  <c r="BH14" i="19"/>
  <c r="BG14" i="19"/>
  <c r="BF14" i="19"/>
  <c r="BN14" i="19" s="1"/>
  <c r="BL120" i="33" s="1"/>
  <c r="BZ13" i="19"/>
  <c r="BY13" i="19"/>
  <c r="BX13" i="19"/>
  <c r="BW13" i="19"/>
  <c r="BV13" i="19"/>
  <c r="BU13" i="19"/>
  <c r="BT13" i="19"/>
  <c r="BS13" i="19"/>
  <c r="BR13" i="19"/>
  <c r="BM13" i="19"/>
  <c r="BL13" i="19"/>
  <c r="BJ13" i="19"/>
  <c r="BI13" i="19"/>
  <c r="BH13" i="19"/>
  <c r="BG13" i="19"/>
  <c r="BF13" i="19"/>
  <c r="BN13" i="19"/>
  <c r="BL119" i="33" s="1"/>
  <c r="BZ12" i="19"/>
  <c r="BY12" i="19"/>
  <c r="BX12" i="19"/>
  <c r="BV12" i="19"/>
  <c r="BU12" i="19"/>
  <c r="BT12" i="19"/>
  <c r="BS12" i="19"/>
  <c r="BR12" i="19"/>
  <c r="BM12" i="19"/>
  <c r="BL12" i="19"/>
  <c r="BK12" i="19"/>
  <c r="BJ12" i="19"/>
  <c r="BI12" i="19"/>
  <c r="BH12" i="19"/>
  <c r="BG12" i="19"/>
  <c r="BF12" i="19"/>
  <c r="BN12" i="19" s="1"/>
  <c r="BL118" i="33" s="1"/>
  <c r="BZ11" i="19"/>
  <c r="BY11" i="19"/>
  <c r="BX11" i="19"/>
  <c r="BW11" i="19"/>
  <c r="BV11" i="19"/>
  <c r="BU11" i="19"/>
  <c r="BT11" i="19"/>
  <c r="BS11" i="19"/>
  <c r="BR11" i="19"/>
  <c r="CA11" i="19" s="1"/>
  <c r="CB11" i="19" s="1"/>
  <c r="BM11" i="19"/>
  <c r="BL11" i="19"/>
  <c r="BK11" i="19"/>
  <c r="BJ11" i="19"/>
  <c r="BI11" i="19"/>
  <c r="BH11" i="19"/>
  <c r="BG11" i="19"/>
  <c r="BF11" i="19"/>
  <c r="BN11" i="19" s="1"/>
  <c r="BZ10" i="19"/>
  <c r="BY10" i="19"/>
  <c r="BX10" i="19"/>
  <c r="BW10" i="19"/>
  <c r="BV10" i="19"/>
  <c r="BU10" i="19"/>
  <c r="BT10" i="19"/>
  <c r="BS10" i="19"/>
  <c r="BR10" i="19"/>
  <c r="CA10" i="19" s="1"/>
  <c r="CB10" i="19" s="1"/>
  <c r="BM10" i="19"/>
  <c r="BL10" i="19"/>
  <c r="BK10" i="19"/>
  <c r="BJ10" i="19"/>
  <c r="BI10" i="19"/>
  <c r="BH10" i="19"/>
  <c r="BG10" i="19"/>
  <c r="BF10" i="19"/>
  <c r="BN10" i="19" s="1"/>
  <c r="BZ9" i="19"/>
  <c r="BY9" i="19"/>
  <c r="BX9" i="19"/>
  <c r="BW9" i="19"/>
  <c r="BV9" i="19"/>
  <c r="BU9" i="19"/>
  <c r="BT9" i="19"/>
  <c r="BS9" i="19"/>
  <c r="BR9" i="19"/>
  <c r="BM9" i="19"/>
  <c r="BL9" i="19"/>
  <c r="BK9" i="19"/>
  <c r="BJ9" i="19"/>
  <c r="BI9" i="19"/>
  <c r="BH9" i="19"/>
  <c r="BG9" i="19"/>
  <c r="BF9" i="19"/>
  <c r="BN9" i="19" s="1"/>
  <c r="BZ8" i="19"/>
  <c r="BY8" i="19"/>
  <c r="BX8" i="19"/>
  <c r="BW8" i="19"/>
  <c r="BV8" i="19"/>
  <c r="BU8" i="19"/>
  <c r="BT8" i="19"/>
  <c r="BS8" i="19"/>
  <c r="BR8" i="19"/>
  <c r="CA8" i="19" s="1"/>
  <c r="CB8" i="19" s="1"/>
  <c r="BM8" i="19"/>
  <c r="BL8" i="19"/>
  <c r="BK8" i="19"/>
  <c r="BJ8" i="19"/>
  <c r="BI8" i="19"/>
  <c r="BH8" i="19"/>
  <c r="BG8" i="19"/>
  <c r="BF8" i="19"/>
  <c r="BN8" i="19" s="1"/>
  <c r="BZ7" i="19"/>
  <c r="BY7" i="19"/>
  <c r="BX7" i="19"/>
  <c r="BW7" i="19"/>
  <c r="BV7" i="19"/>
  <c r="BU7" i="19"/>
  <c r="BT7" i="19"/>
  <c r="BS7" i="19"/>
  <c r="BR7" i="19"/>
  <c r="BM7" i="19"/>
  <c r="BL7" i="19"/>
  <c r="BK7" i="19"/>
  <c r="BJ7" i="19"/>
  <c r="BI7" i="19"/>
  <c r="BH7" i="19"/>
  <c r="BG7" i="19"/>
  <c r="BF7" i="19"/>
  <c r="BN7" i="19" s="1"/>
  <c r="BZ20" i="27"/>
  <c r="BY20" i="27"/>
  <c r="BX20" i="27"/>
  <c r="BW20" i="27"/>
  <c r="BV20" i="27"/>
  <c r="BU20" i="27"/>
  <c r="BT20" i="27"/>
  <c r="BS20" i="27"/>
  <c r="BR20" i="27"/>
  <c r="BM20" i="27"/>
  <c r="BL20" i="27"/>
  <c r="BK20" i="27"/>
  <c r="BJ20" i="27"/>
  <c r="BI20" i="27"/>
  <c r="BO20" i="27"/>
  <c r="BH20" i="27"/>
  <c r="BG20" i="27"/>
  <c r="BF20" i="27"/>
  <c r="BN20" i="27"/>
  <c r="BP20" i="27" s="1"/>
  <c r="BZ19" i="27"/>
  <c r="BY19" i="27"/>
  <c r="BX19" i="27"/>
  <c r="BW19" i="27"/>
  <c r="BV19" i="27"/>
  <c r="BU19" i="27"/>
  <c r="BT19" i="27"/>
  <c r="BS19" i="27"/>
  <c r="BR19" i="27"/>
  <c r="BM19" i="27"/>
  <c r="BL19" i="27"/>
  <c r="BK19" i="27"/>
  <c r="BJ19" i="27"/>
  <c r="BI19" i="27"/>
  <c r="BO19" i="27"/>
  <c r="BH19" i="27"/>
  <c r="BG19" i="27"/>
  <c r="BF19" i="27"/>
  <c r="BN19" i="27"/>
  <c r="BZ18" i="27"/>
  <c r="BY18" i="27"/>
  <c r="BX18" i="27"/>
  <c r="BW18" i="27"/>
  <c r="BV18" i="27"/>
  <c r="BU18" i="27"/>
  <c r="BT18" i="27"/>
  <c r="BS18" i="27"/>
  <c r="BR18" i="27"/>
  <c r="CA18" i="27" s="1"/>
  <c r="BM18" i="27"/>
  <c r="BL18" i="27"/>
  <c r="BK18" i="27"/>
  <c r="BJ18" i="27"/>
  <c r="BI18" i="27"/>
  <c r="BO18" i="27" s="1"/>
  <c r="BM131" i="33" s="1"/>
  <c r="BH18" i="27"/>
  <c r="BG18" i="27"/>
  <c r="BF18" i="27"/>
  <c r="BZ17" i="27"/>
  <c r="BY17" i="27"/>
  <c r="BX17" i="27"/>
  <c r="BW17" i="27"/>
  <c r="BV17" i="27"/>
  <c r="BU17" i="27"/>
  <c r="BT17" i="27"/>
  <c r="BS17" i="27"/>
  <c r="BR17" i="27"/>
  <c r="BM17" i="27"/>
  <c r="BL17" i="27"/>
  <c r="BK17" i="27"/>
  <c r="BJ17" i="27"/>
  <c r="BI17" i="27"/>
  <c r="BH17" i="27"/>
  <c r="BG17" i="27"/>
  <c r="BN17" i="27" s="1"/>
  <c r="BL130" i="33" s="1"/>
  <c r="BF17" i="27"/>
  <c r="BZ16" i="27"/>
  <c r="BY16" i="27"/>
  <c r="BX16" i="27"/>
  <c r="BW16" i="27"/>
  <c r="BV16" i="27"/>
  <c r="BU16" i="27"/>
  <c r="BT16" i="27"/>
  <c r="BS16" i="27"/>
  <c r="BR16" i="27"/>
  <c r="BM16" i="27"/>
  <c r="BL16" i="27"/>
  <c r="BK16" i="27"/>
  <c r="BJ16" i="27"/>
  <c r="BI16" i="27"/>
  <c r="BO16" i="27" s="1"/>
  <c r="BM129" i="33" s="1"/>
  <c r="BH16" i="27"/>
  <c r="BG16" i="27"/>
  <c r="BF16" i="27"/>
  <c r="BN16" i="27" s="1"/>
  <c r="BZ15" i="27"/>
  <c r="BY15" i="27"/>
  <c r="BX15" i="27"/>
  <c r="BW15" i="27"/>
  <c r="BV15" i="27"/>
  <c r="BU15" i="27"/>
  <c r="BT15" i="27"/>
  <c r="BS15" i="27"/>
  <c r="BR15" i="27"/>
  <c r="BM15" i="27"/>
  <c r="BL15" i="27"/>
  <c r="BK15" i="27"/>
  <c r="BJ15" i="27"/>
  <c r="BI15" i="27"/>
  <c r="BO15" i="27" s="1"/>
  <c r="BM128" i="33" s="1"/>
  <c r="BH15" i="27"/>
  <c r="BG15" i="27"/>
  <c r="BF15" i="27"/>
  <c r="BN15" i="27" s="1"/>
  <c r="BL128" i="33" s="1"/>
  <c r="BZ14" i="27"/>
  <c r="BY14" i="27"/>
  <c r="BX14" i="27"/>
  <c r="BW14" i="27"/>
  <c r="BV14" i="27"/>
  <c r="BU14" i="27"/>
  <c r="BT14" i="27"/>
  <c r="BS14" i="27"/>
  <c r="BR14" i="27"/>
  <c r="CA14" i="27" s="1"/>
  <c r="BM14" i="27"/>
  <c r="BL14" i="27"/>
  <c r="BK14" i="27"/>
  <c r="BJ14" i="27"/>
  <c r="BO14" i="27" s="1"/>
  <c r="BM127" i="33" s="1"/>
  <c r="BI14" i="27"/>
  <c r="BH14" i="27"/>
  <c r="BG14" i="27"/>
  <c r="BN14" i="27" s="1"/>
  <c r="BF14" i="27"/>
  <c r="BZ13" i="27"/>
  <c r="BY13" i="27"/>
  <c r="BX13" i="27"/>
  <c r="BW13" i="27"/>
  <c r="BV13" i="27"/>
  <c r="BU13" i="27"/>
  <c r="BT13" i="27"/>
  <c r="BS13" i="27"/>
  <c r="CA13" i="27"/>
  <c r="BY126" i="33" s="1"/>
  <c r="BZ126" i="33" s="1"/>
  <c r="BR13" i="27"/>
  <c r="BM13" i="27"/>
  <c r="BL13" i="27"/>
  <c r="BK13" i="27"/>
  <c r="BJ13" i="27"/>
  <c r="BI13" i="27"/>
  <c r="BH13" i="27"/>
  <c r="BG13" i="27"/>
  <c r="BF13" i="27"/>
  <c r="BZ12" i="27"/>
  <c r="BY12" i="27"/>
  <c r="BX12" i="27"/>
  <c r="BW12" i="27"/>
  <c r="BV12" i="27"/>
  <c r="BU12" i="27"/>
  <c r="BT12" i="27"/>
  <c r="BS12" i="27"/>
  <c r="BR12" i="27"/>
  <c r="BM12" i="27"/>
  <c r="BL12" i="27"/>
  <c r="BK12" i="27"/>
  <c r="BJ12" i="27"/>
  <c r="BO12" i="27"/>
  <c r="BM125" i="33" s="1"/>
  <c r="BI12" i="27"/>
  <c r="BH12" i="27"/>
  <c r="BG12" i="27"/>
  <c r="BN12" i="27"/>
  <c r="BL125" i="33" s="1"/>
  <c r="BF12" i="27"/>
  <c r="BZ11" i="27"/>
  <c r="BY11" i="27"/>
  <c r="BX11" i="27"/>
  <c r="BW11" i="27"/>
  <c r="BV11" i="27"/>
  <c r="BU11" i="27"/>
  <c r="BT11" i="27"/>
  <c r="BS11" i="27"/>
  <c r="BR11" i="27"/>
  <c r="BM11" i="27"/>
  <c r="BL11" i="27"/>
  <c r="BK11" i="27"/>
  <c r="BJ11" i="27"/>
  <c r="BI11" i="27"/>
  <c r="BO11" i="27" s="1"/>
  <c r="BH11" i="27"/>
  <c r="BG11" i="27"/>
  <c r="BF11" i="27"/>
  <c r="BN11" i="27" s="1"/>
  <c r="BZ10" i="27"/>
  <c r="BY10" i="27"/>
  <c r="BX10" i="27"/>
  <c r="BW10" i="27"/>
  <c r="BV10" i="27"/>
  <c r="BU10" i="27"/>
  <c r="BT10" i="27"/>
  <c r="BS10" i="27"/>
  <c r="CA10" i="27" s="1"/>
  <c r="CB10" i="27" s="1"/>
  <c r="BR10" i="27"/>
  <c r="BM10" i="27"/>
  <c r="BL10" i="27"/>
  <c r="BK10" i="27"/>
  <c r="BJ10" i="27"/>
  <c r="BI10" i="27"/>
  <c r="BO10" i="27" s="1"/>
  <c r="BH10" i="27"/>
  <c r="BG10" i="27"/>
  <c r="BF10" i="27"/>
  <c r="BN10" i="27" s="1"/>
  <c r="BZ9" i="27"/>
  <c r="BY9" i="27"/>
  <c r="BX9" i="27"/>
  <c r="BW9" i="27"/>
  <c r="BV9" i="27"/>
  <c r="BU9" i="27"/>
  <c r="BT9" i="27"/>
  <c r="BS9" i="27"/>
  <c r="BR9" i="27"/>
  <c r="CA9" i="27" s="1"/>
  <c r="CB9" i="27" s="1"/>
  <c r="BM9" i="27"/>
  <c r="BL9" i="27"/>
  <c r="BK9" i="27"/>
  <c r="BJ9" i="27"/>
  <c r="BI9" i="27"/>
  <c r="BO9" i="27" s="1"/>
  <c r="BH9" i="27"/>
  <c r="BG9" i="27"/>
  <c r="BF9" i="27"/>
  <c r="BZ8" i="27"/>
  <c r="BY8" i="27"/>
  <c r="BX8" i="27"/>
  <c r="BW8" i="27"/>
  <c r="BV8" i="27"/>
  <c r="BU8" i="27"/>
  <c r="BT8" i="27"/>
  <c r="BS8" i="27"/>
  <c r="BR8" i="27"/>
  <c r="CA8" i="27"/>
  <c r="CB8" i="27" s="1"/>
  <c r="BM8" i="27"/>
  <c r="BL8" i="27"/>
  <c r="BK8" i="27"/>
  <c r="BO8" i="27" s="1"/>
  <c r="BJ8" i="27"/>
  <c r="BI8" i="27"/>
  <c r="BH8" i="27"/>
  <c r="BG8" i="27"/>
  <c r="BF8" i="27"/>
  <c r="BN8" i="27" s="1"/>
  <c r="BZ7" i="27"/>
  <c r="BY7" i="27"/>
  <c r="BX7" i="27"/>
  <c r="BW7" i="27"/>
  <c r="BV7" i="27"/>
  <c r="BU7" i="27"/>
  <c r="BT7" i="27"/>
  <c r="BS7" i="27"/>
  <c r="BR7" i="27"/>
  <c r="CA7" i="27" s="1"/>
  <c r="CB7" i="27" s="1"/>
  <c r="BM7" i="27"/>
  <c r="BL7" i="27"/>
  <c r="BK7" i="27"/>
  <c r="BJ7" i="27"/>
  <c r="BI7" i="27"/>
  <c r="BO7" i="27" s="1"/>
  <c r="BH7" i="27"/>
  <c r="BG7" i="27"/>
  <c r="BF7" i="27"/>
  <c r="BN7" i="27" s="1"/>
  <c r="BZ20" i="28"/>
  <c r="BY20" i="28"/>
  <c r="BX20" i="28"/>
  <c r="BW20" i="28"/>
  <c r="BV20" i="28"/>
  <c r="BU20" i="28"/>
  <c r="BT20" i="28"/>
  <c r="BS20" i="28"/>
  <c r="BR20" i="28"/>
  <c r="BM20" i="28"/>
  <c r="BL20" i="28"/>
  <c r="BK20" i="28"/>
  <c r="BJ20" i="28"/>
  <c r="BI20" i="28"/>
  <c r="BH20" i="28"/>
  <c r="BG20" i="28"/>
  <c r="BF20" i="28"/>
  <c r="BN20" i="28"/>
  <c r="BZ19" i="28"/>
  <c r="BY19" i="28"/>
  <c r="BX19" i="28"/>
  <c r="BW19" i="28"/>
  <c r="BV19" i="28"/>
  <c r="BU19" i="28"/>
  <c r="BT19" i="28"/>
  <c r="BS19" i="28"/>
  <c r="BR19" i="28"/>
  <c r="BM19" i="28"/>
  <c r="BL19" i="28"/>
  <c r="BK19" i="28"/>
  <c r="BJ19" i="28"/>
  <c r="BI19" i="28"/>
  <c r="BH19" i="28"/>
  <c r="BG19" i="28"/>
  <c r="BF19" i="28"/>
  <c r="BN19" i="28"/>
  <c r="BZ18" i="28"/>
  <c r="BY18" i="28"/>
  <c r="BX18" i="28"/>
  <c r="BW18" i="28"/>
  <c r="BV18" i="28"/>
  <c r="BU18" i="28"/>
  <c r="BT18" i="28"/>
  <c r="BS18" i="28"/>
  <c r="BR18" i="28"/>
  <c r="CA18" i="28" s="1"/>
  <c r="BM18" i="28"/>
  <c r="BL18" i="28"/>
  <c r="BK18" i="28"/>
  <c r="BJ18" i="28"/>
  <c r="BI18" i="28"/>
  <c r="BH18" i="28"/>
  <c r="BG18" i="28"/>
  <c r="BN18" i="28" s="1"/>
  <c r="BL138" i="33" s="1"/>
  <c r="BZ17" i="28"/>
  <c r="BY17" i="28"/>
  <c r="BX17" i="28"/>
  <c r="BW17" i="28"/>
  <c r="BV17" i="28"/>
  <c r="BU17" i="28"/>
  <c r="BT17" i="28"/>
  <c r="BS17" i="28"/>
  <c r="BR17" i="28"/>
  <c r="CA17" i="28"/>
  <c r="BY137" i="33" s="1"/>
  <c r="BZ137" i="33" s="1"/>
  <c r="BM17" i="28"/>
  <c r="BL17" i="28"/>
  <c r="BK17" i="28"/>
  <c r="BJ17" i="28"/>
  <c r="BI17" i="28"/>
  <c r="BH17" i="28"/>
  <c r="BG17" i="28"/>
  <c r="BZ16" i="28"/>
  <c r="BY16" i="28"/>
  <c r="BX16" i="28"/>
  <c r="BW16" i="28"/>
  <c r="BV16" i="28"/>
  <c r="BU16" i="28"/>
  <c r="BT16" i="28"/>
  <c r="BS16" i="28"/>
  <c r="BR16" i="28"/>
  <c r="BM16" i="28"/>
  <c r="BL16" i="28"/>
  <c r="BK16" i="28"/>
  <c r="BJ16" i="28"/>
  <c r="BI16" i="28"/>
  <c r="BH16" i="28"/>
  <c r="BG16" i="28"/>
  <c r="BN16" i="28" s="1"/>
  <c r="BL136" i="33" s="1"/>
  <c r="BF16" i="28"/>
  <c r="BZ15" i="28"/>
  <c r="BY15" i="28"/>
  <c r="BX15" i="28"/>
  <c r="BW15" i="28"/>
  <c r="BV15" i="28"/>
  <c r="BU15" i="28"/>
  <c r="BT15" i="28"/>
  <c r="BS15" i="28"/>
  <c r="BR15" i="28"/>
  <c r="CA15" i="28"/>
  <c r="CB15" i="28" s="1"/>
  <c r="BM15" i="28"/>
  <c r="BL15" i="28"/>
  <c r="BK15" i="28"/>
  <c r="BJ15" i="28"/>
  <c r="BI15" i="28"/>
  <c r="BH15" i="28"/>
  <c r="BG15" i="28"/>
  <c r="BN15" i="28" s="1"/>
  <c r="BL135" i="33" s="1"/>
  <c r="BF15" i="28"/>
  <c r="BZ14" i="28"/>
  <c r="BY14" i="28"/>
  <c r="BX14" i="28"/>
  <c r="BW14" i="28"/>
  <c r="BV14" i="28"/>
  <c r="BU14" i="28"/>
  <c r="BT14" i="28"/>
  <c r="BS14" i="28"/>
  <c r="BR14" i="28"/>
  <c r="CA14" i="28" s="1"/>
  <c r="BM14" i="28"/>
  <c r="BL14" i="28"/>
  <c r="BK14" i="28"/>
  <c r="BJ14" i="28"/>
  <c r="BI14" i="28"/>
  <c r="BH14" i="28"/>
  <c r="BG14" i="28"/>
  <c r="BN14" i="28" s="1"/>
  <c r="BL134" i="33" s="1"/>
  <c r="BF14" i="28"/>
  <c r="BZ13" i="28"/>
  <c r="BY13" i="28"/>
  <c r="BX13" i="28"/>
  <c r="BW13" i="28"/>
  <c r="BV13" i="28"/>
  <c r="BU13" i="28"/>
  <c r="BT13" i="28"/>
  <c r="BS13" i="28"/>
  <c r="BR13" i="28"/>
  <c r="BM13" i="28"/>
  <c r="BL13" i="28"/>
  <c r="BK13" i="28"/>
  <c r="BJ13" i="28"/>
  <c r="BI13" i="28"/>
  <c r="BH13" i="28"/>
  <c r="BG13" i="28"/>
  <c r="BF13" i="28"/>
  <c r="BN13" i="28"/>
  <c r="BL133" i="33" s="1"/>
  <c r="BZ12" i="28"/>
  <c r="BY12" i="28"/>
  <c r="BX12" i="28"/>
  <c r="BW12" i="28"/>
  <c r="BV12" i="28"/>
  <c r="BU12" i="28"/>
  <c r="BT12" i="28"/>
  <c r="BS12" i="28"/>
  <c r="BR12" i="28"/>
  <c r="BM12" i="28"/>
  <c r="BL12" i="28"/>
  <c r="BK12" i="28"/>
  <c r="BJ12" i="28"/>
  <c r="BI12" i="28"/>
  <c r="BH12" i="28"/>
  <c r="BG12" i="28"/>
  <c r="BN12" i="28" s="1"/>
  <c r="BL132" i="33" s="1"/>
  <c r="BF12" i="28"/>
  <c r="BZ11" i="28"/>
  <c r="BY11" i="28"/>
  <c r="BX11" i="28"/>
  <c r="BW11" i="28"/>
  <c r="BV11" i="28"/>
  <c r="BU11" i="28"/>
  <c r="BT11" i="28"/>
  <c r="BS11" i="28"/>
  <c r="BR11" i="28"/>
  <c r="BM11" i="28"/>
  <c r="BL11" i="28"/>
  <c r="BK11" i="28"/>
  <c r="BJ11" i="28"/>
  <c r="BI11" i="28"/>
  <c r="BH11" i="28"/>
  <c r="BG11" i="28"/>
  <c r="BF11" i="28"/>
  <c r="BZ10" i="28"/>
  <c r="BY10" i="28"/>
  <c r="BX10" i="28"/>
  <c r="BW10" i="28"/>
  <c r="BV10" i="28"/>
  <c r="CA10" i="28" s="1"/>
  <c r="CB10" i="28" s="1"/>
  <c r="BU10" i="28"/>
  <c r="BT10" i="28"/>
  <c r="BS10" i="28"/>
  <c r="BR10" i="28"/>
  <c r="BM10" i="28"/>
  <c r="BL10" i="28"/>
  <c r="BK10" i="28"/>
  <c r="BJ10" i="28"/>
  <c r="BI10" i="28"/>
  <c r="BH10" i="28"/>
  <c r="BG10" i="28"/>
  <c r="BF10" i="28"/>
  <c r="BZ9" i="28"/>
  <c r="BY9" i="28"/>
  <c r="BX9" i="28"/>
  <c r="BW9" i="28"/>
  <c r="BV9" i="28"/>
  <c r="BU9" i="28"/>
  <c r="BT9" i="28"/>
  <c r="BS9" i="28"/>
  <c r="BR9" i="28"/>
  <c r="CA9" i="28"/>
  <c r="CB9" i="28" s="1"/>
  <c r="BM9" i="28"/>
  <c r="BL9" i="28"/>
  <c r="BK9" i="28"/>
  <c r="BJ9" i="28"/>
  <c r="BI9" i="28"/>
  <c r="BH9" i="28"/>
  <c r="BG9" i="28"/>
  <c r="BF9" i="28"/>
  <c r="BZ8" i="28"/>
  <c r="BY8" i="28"/>
  <c r="BX8" i="28"/>
  <c r="BW8" i="28"/>
  <c r="BV8" i="28"/>
  <c r="BU8" i="28"/>
  <c r="BT8" i="28"/>
  <c r="BS8" i="28"/>
  <c r="BR8" i="28"/>
  <c r="BM8" i="28"/>
  <c r="BL8" i="28"/>
  <c r="BK8" i="28"/>
  <c r="BJ8" i="28"/>
  <c r="BI8" i="28"/>
  <c r="BH8" i="28"/>
  <c r="BG8" i="28"/>
  <c r="BF8" i="28"/>
  <c r="BZ7" i="28"/>
  <c r="BY7" i="28"/>
  <c r="BX7" i="28"/>
  <c r="BW7" i="28"/>
  <c r="BV7" i="28"/>
  <c r="BU7" i="28"/>
  <c r="BT7" i="28"/>
  <c r="BS7" i="28"/>
  <c r="BR7" i="28"/>
  <c r="CA7" i="28"/>
  <c r="CB7" i="28" s="1"/>
  <c r="BM7" i="28"/>
  <c r="BL7" i="28"/>
  <c r="BK7" i="28"/>
  <c r="BJ7" i="28"/>
  <c r="BI7" i="28"/>
  <c r="BH7" i="28"/>
  <c r="BG7" i="28"/>
  <c r="BF7" i="28"/>
  <c r="BZ20" i="26"/>
  <c r="BY20" i="26"/>
  <c r="BX20" i="26"/>
  <c r="BW20" i="26"/>
  <c r="BV20" i="26"/>
  <c r="BU20" i="26"/>
  <c r="BT20" i="26"/>
  <c r="BS20" i="26"/>
  <c r="BR20" i="26"/>
  <c r="CA20" i="26"/>
  <c r="CB20" i="26" s="1"/>
  <c r="BM20" i="26"/>
  <c r="BL20" i="26"/>
  <c r="BK20" i="26"/>
  <c r="BJ20" i="26"/>
  <c r="BI20" i="26"/>
  <c r="BH20" i="26"/>
  <c r="BG20" i="26"/>
  <c r="BF20" i="26"/>
  <c r="BN20" i="26" s="1"/>
  <c r="BZ19" i="26"/>
  <c r="BY19" i="26"/>
  <c r="BX19" i="26"/>
  <c r="BW19" i="26"/>
  <c r="BV19" i="26"/>
  <c r="BU19" i="26"/>
  <c r="BT19" i="26"/>
  <c r="BS19" i="26"/>
  <c r="BR19" i="26"/>
  <c r="BM19" i="26"/>
  <c r="BL19" i="26"/>
  <c r="BK19" i="26"/>
  <c r="BJ19" i="26"/>
  <c r="BI19" i="26"/>
  <c r="BH19" i="26"/>
  <c r="BG19" i="26"/>
  <c r="BF19" i="26"/>
  <c r="BN19" i="26" s="1"/>
  <c r="BZ18" i="26"/>
  <c r="BY18" i="26"/>
  <c r="BX18" i="26"/>
  <c r="BW18" i="26"/>
  <c r="BV18" i="26"/>
  <c r="BU18" i="26"/>
  <c r="BT18" i="26"/>
  <c r="BS18" i="26"/>
  <c r="BR18" i="26"/>
  <c r="BM18" i="26"/>
  <c r="BL18" i="26"/>
  <c r="BK18" i="26"/>
  <c r="BJ18" i="26"/>
  <c r="BI18" i="26"/>
  <c r="BH18" i="26"/>
  <c r="BG18" i="26"/>
  <c r="BF18" i="26"/>
  <c r="BZ17" i="26"/>
  <c r="BY17" i="26"/>
  <c r="BX17" i="26"/>
  <c r="BW17" i="26"/>
  <c r="BV17" i="26"/>
  <c r="BU17" i="26"/>
  <c r="BT17" i="26"/>
  <c r="BS17" i="26"/>
  <c r="BR17" i="26"/>
  <c r="BM17" i="26"/>
  <c r="BL17" i="26"/>
  <c r="BK17" i="26"/>
  <c r="BJ17" i="26"/>
  <c r="BI17" i="26"/>
  <c r="BH17" i="26"/>
  <c r="BG17" i="26"/>
  <c r="BF17" i="26"/>
  <c r="BZ16" i="26"/>
  <c r="BY16" i="26"/>
  <c r="BX16" i="26"/>
  <c r="BW16" i="26"/>
  <c r="BV16" i="26"/>
  <c r="BU16" i="26"/>
  <c r="BT16" i="26"/>
  <c r="BS16" i="26"/>
  <c r="BR16" i="26"/>
  <c r="CA16" i="26"/>
  <c r="BY143" i="33" s="1"/>
  <c r="BZ143" i="33" s="1"/>
  <c r="BM16" i="26"/>
  <c r="BL16" i="26"/>
  <c r="BK16" i="26"/>
  <c r="BJ16" i="26"/>
  <c r="BI16" i="26"/>
  <c r="BH16" i="26"/>
  <c r="BG16" i="26"/>
  <c r="BF16" i="26"/>
  <c r="BN16" i="26" s="1"/>
  <c r="BL143" i="33" s="1"/>
  <c r="BZ15" i="26"/>
  <c r="BY15" i="26"/>
  <c r="BX15" i="26"/>
  <c r="BW15" i="26"/>
  <c r="BV15" i="26"/>
  <c r="BU15" i="26"/>
  <c r="BT15" i="26"/>
  <c r="BS15" i="26"/>
  <c r="BR15" i="26"/>
  <c r="CA15" i="26" s="1"/>
  <c r="BM15" i="26"/>
  <c r="BL15" i="26"/>
  <c r="BK15" i="26"/>
  <c r="BJ15" i="26"/>
  <c r="BI15" i="26"/>
  <c r="BH15" i="26"/>
  <c r="BG15" i="26"/>
  <c r="BF15" i="26"/>
  <c r="BN15" i="26" s="1"/>
  <c r="BL142" i="33" s="1"/>
  <c r="BZ14" i="26"/>
  <c r="BY14" i="26"/>
  <c r="BX14" i="26"/>
  <c r="BW14" i="26"/>
  <c r="BV14" i="26"/>
  <c r="BU14" i="26"/>
  <c r="BT14" i="26"/>
  <c r="BS14" i="26"/>
  <c r="BR14" i="26"/>
  <c r="BM14" i="26"/>
  <c r="BL14" i="26"/>
  <c r="BK14" i="26"/>
  <c r="BJ14" i="26"/>
  <c r="BI14" i="26"/>
  <c r="BH14" i="26"/>
  <c r="BG14" i="26"/>
  <c r="BF14" i="26"/>
  <c r="BZ13" i="26"/>
  <c r="BY13" i="26"/>
  <c r="BX13" i="26"/>
  <c r="BW13" i="26"/>
  <c r="BV13" i="26"/>
  <c r="BU13" i="26"/>
  <c r="BT13" i="26"/>
  <c r="BS13" i="26"/>
  <c r="BR13" i="26"/>
  <c r="CA13" i="26"/>
  <c r="BY140" i="33" s="1"/>
  <c r="BZ140" i="33" s="1"/>
  <c r="BM13" i="26"/>
  <c r="BL13" i="26"/>
  <c r="BK13" i="26"/>
  <c r="BJ13" i="26"/>
  <c r="BI13" i="26"/>
  <c r="BH13" i="26"/>
  <c r="BG13" i="26"/>
  <c r="BF13" i="26"/>
  <c r="BZ12" i="26"/>
  <c r="BY12" i="26"/>
  <c r="BX12" i="26"/>
  <c r="BW12" i="26"/>
  <c r="BV12" i="26"/>
  <c r="BU12" i="26"/>
  <c r="BT12" i="26"/>
  <c r="BS12" i="26"/>
  <c r="BR12" i="26"/>
  <c r="CA12" i="26"/>
  <c r="BY139" i="33" s="1"/>
  <c r="BZ139" i="33" s="1"/>
  <c r="BM12" i="26"/>
  <c r="BL12" i="26"/>
  <c r="BK12" i="26"/>
  <c r="BJ12" i="26"/>
  <c r="BI12" i="26"/>
  <c r="BH12" i="26"/>
  <c r="BG12" i="26"/>
  <c r="BF12" i="26"/>
  <c r="BZ11" i="26"/>
  <c r="BY11" i="26"/>
  <c r="BX11" i="26"/>
  <c r="BW11" i="26"/>
  <c r="BV11" i="26"/>
  <c r="BU11" i="26"/>
  <c r="BT11" i="26"/>
  <c r="BS11" i="26"/>
  <c r="BR11" i="26"/>
  <c r="BM11" i="26"/>
  <c r="BL11" i="26"/>
  <c r="BK11" i="26"/>
  <c r="BJ11" i="26"/>
  <c r="BI11" i="26"/>
  <c r="BH11" i="26"/>
  <c r="BG11" i="26"/>
  <c r="BF11" i="26"/>
  <c r="BZ10" i="26"/>
  <c r="BY10" i="26"/>
  <c r="BX10" i="26"/>
  <c r="BW10" i="26"/>
  <c r="BV10" i="26"/>
  <c r="BU10" i="26"/>
  <c r="BT10" i="26"/>
  <c r="BS10" i="26"/>
  <c r="BR10" i="26"/>
  <c r="BM10" i="26"/>
  <c r="BL10" i="26"/>
  <c r="BK10" i="26"/>
  <c r="BJ10" i="26"/>
  <c r="BI10" i="26"/>
  <c r="BH10" i="26"/>
  <c r="BG10" i="26"/>
  <c r="BF10" i="26"/>
  <c r="BZ9" i="26"/>
  <c r="BY9" i="26"/>
  <c r="BX9" i="26"/>
  <c r="BW9" i="26"/>
  <c r="BV9" i="26"/>
  <c r="BU9" i="26"/>
  <c r="BT9" i="26"/>
  <c r="BS9" i="26"/>
  <c r="BR9" i="26"/>
  <c r="BM9" i="26"/>
  <c r="BL9" i="26"/>
  <c r="BK9" i="26"/>
  <c r="BJ9" i="26"/>
  <c r="BI9" i="26"/>
  <c r="BH9" i="26"/>
  <c r="BG9" i="26"/>
  <c r="BF9" i="26"/>
  <c r="BN9" i="26"/>
  <c r="BZ8" i="26"/>
  <c r="BY8" i="26"/>
  <c r="BX8" i="26"/>
  <c r="BW8" i="26"/>
  <c r="BV8" i="26"/>
  <c r="BU8" i="26"/>
  <c r="BT8" i="26"/>
  <c r="BS8" i="26"/>
  <c r="BR8" i="26"/>
  <c r="CA8" i="26" s="1"/>
  <c r="CB8" i="26" s="1"/>
  <c r="BM8" i="26"/>
  <c r="BL8" i="26"/>
  <c r="BK8" i="26"/>
  <c r="BJ8" i="26"/>
  <c r="BI8" i="26"/>
  <c r="BH8" i="26"/>
  <c r="BG8" i="26"/>
  <c r="BF8" i="26"/>
  <c r="BN8" i="26"/>
  <c r="BZ7" i="26"/>
  <c r="BY7" i="26"/>
  <c r="BX7" i="26"/>
  <c r="BW7" i="26"/>
  <c r="BV7" i="26"/>
  <c r="BU7" i="26"/>
  <c r="BT7" i="26"/>
  <c r="BS7" i="26"/>
  <c r="CA7" i="26" s="1"/>
  <c r="CB7" i="26" s="1"/>
  <c r="BR7" i="26"/>
  <c r="BM7" i="26"/>
  <c r="BL7" i="26"/>
  <c r="BK7" i="26"/>
  <c r="BJ7" i="26"/>
  <c r="BI7" i="26"/>
  <c r="BH7" i="26"/>
  <c r="BG7" i="26"/>
  <c r="BF7" i="26"/>
  <c r="BZ20" i="14"/>
  <c r="BY20" i="14"/>
  <c r="BX20" i="14"/>
  <c r="BW20" i="14"/>
  <c r="BV20" i="14"/>
  <c r="BU20" i="14"/>
  <c r="BT20" i="14"/>
  <c r="BS20" i="14"/>
  <c r="BR20" i="14"/>
  <c r="BM20" i="14"/>
  <c r="BL20" i="14"/>
  <c r="BK20" i="14"/>
  <c r="BJ20" i="14"/>
  <c r="BI20" i="14"/>
  <c r="BH20" i="14"/>
  <c r="BG20" i="14"/>
  <c r="BF20" i="14"/>
  <c r="BN20" i="14" s="1"/>
  <c r="BZ19" i="14"/>
  <c r="BY19" i="14"/>
  <c r="BX19" i="14"/>
  <c r="BW19" i="14"/>
  <c r="BV19" i="14"/>
  <c r="BU19" i="14"/>
  <c r="BT19" i="14"/>
  <c r="BS19" i="14"/>
  <c r="BR19" i="14"/>
  <c r="CA19" i="14" s="1"/>
  <c r="CB19" i="14" s="1"/>
  <c r="BM19" i="14"/>
  <c r="BL19" i="14"/>
  <c r="BK19" i="14"/>
  <c r="BJ19" i="14"/>
  <c r="BI19" i="14"/>
  <c r="BH19" i="14"/>
  <c r="BG19" i="14"/>
  <c r="BF19" i="14"/>
  <c r="BN19" i="14" s="1"/>
  <c r="BZ18" i="14"/>
  <c r="BY18" i="14"/>
  <c r="BX18" i="14"/>
  <c r="BW18" i="14"/>
  <c r="BV18" i="14"/>
  <c r="BU18" i="14"/>
  <c r="BT18" i="14"/>
  <c r="BS18" i="14"/>
  <c r="BR18" i="14"/>
  <c r="CA18" i="14"/>
  <c r="BY152" i="33" s="1"/>
  <c r="BZ152" i="33" s="1"/>
  <c r="BM18" i="14"/>
  <c r="BL18" i="14"/>
  <c r="BK18" i="14"/>
  <c r="BJ18" i="14"/>
  <c r="BI18" i="14"/>
  <c r="BH18" i="14"/>
  <c r="BG18" i="14"/>
  <c r="BZ17" i="14"/>
  <c r="BY17" i="14"/>
  <c r="BX17" i="14"/>
  <c r="BW17" i="14"/>
  <c r="BV17" i="14"/>
  <c r="BU17" i="14"/>
  <c r="BT17" i="14"/>
  <c r="BS17" i="14"/>
  <c r="BR17" i="14"/>
  <c r="BM17" i="14"/>
  <c r="BL17" i="14"/>
  <c r="BK17" i="14"/>
  <c r="BJ17" i="14"/>
  <c r="BI17" i="14"/>
  <c r="BH17" i="14"/>
  <c r="BG17" i="14"/>
  <c r="BF17" i="14"/>
  <c r="BN17" i="14" s="1"/>
  <c r="BL151" i="33" s="1"/>
  <c r="BZ16" i="14"/>
  <c r="BY16" i="14"/>
  <c r="BX16" i="14"/>
  <c r="BW16" i="14"/>
  <c r="BV16" i="14"/>
  <c r="BU16" i="14"/>
  <c r="BT16" i="14"/>
  <c r="BS16" i="14"/>
  <c r="BR16" i="14"/>
  <c r="CA16" i="14" s="1"/>
  <c r="BM16" i="14"/>
  <c r="BL16" i="14"/>
  <c r="BK16" i="14"/>
  <c r="BJ16" i="14"/>
  <c r="BI16" i="14"/>
  <c r="BH16" i="14"/>
  <c r="BG16" i="14"/>
  <c r="BF16" i="14"/>
  <c r="BN16" i="14" s="1"/>
  <c r="BL150" i="33" s="1"/>
  <c r="BZ15" i="14"/>
  <c r="BY15" i="14"/>
  <c r="BW15" i="14"/>
  <c r="BV15" i="14"/>
  <c r="BU15" i="14"/>
  <c r="BT15" i="14"/>
  <c r="BS15" i="14"/>
  <c r="BR15" i="14"/>
  <c r="BM15" i="14"/>
  <c r="BL15" i="14"/>
  <c r="BK15" i="14"/>
  <c r="BJ15" i="14"/>
  <c r="BI15" i="14"/>
  <c r="BH15" i="14"/>
  <c r="BG15" i="14"/>
  <c r="BZ14" i="14"/>
  <c r="BY14" i="14"/>
  <c r="BX14" i="14"/>
  <c r="BW14" i="14"/>
  <c r="BV14" i="14"/>
  <c r="BU14" i="14"/>
  <c r="BT14" i="14"/>
  <c r="BS14" i="14"/>
  <c r="BR14" i="14"/>
  <c r="CA14" i="14" s="1"/>
  <c r="BM14" i="14"/>
  <c r="BL14" i="14"/>
  <c r="BK14" i="14"/>
  <c r="BJ14" i="14"/>
  <c r="BI14" i="14"/>
  <c r="BO14" i="14" s="1"/>
  <c r="BM148" i="33" s="1"/>
  <c r="BH14" i="14"/>
  <c r="BG14" i="14"/>
  <c r="BF14" i="14"/>
  <c r="BN14" i="14" s="1"/>
  <c r="BL148" i="33" s="1"/>
  <c r="BZ13" i="14"/>
  <c r="BY13" i="14"/>
  <c r="BX13" i="14"/>
  <c r="BW13" i="14"/>
  <c r="BV13" i="14"/>
  <c r="BU13" i="14"/>
  <c r="BT13" i="14"/>
  <c r="BS13" i="14"/>
  <c r="BR13" i="14"/>
  <c r="CA13" i="14" s="1"/>
  <c r="BM13" i="14"/>
  <c r="BL13" i="14"/>
  <c r="BK13" i="14"/>
  <c r="BJ13" i="14"/>
  <c r="BI13" i="14"/>
  <c r="BH13" i="14"/>
  <c r="BG13" i="14"/>
  <c r="BF13" i="14"/>
  <c r="BN13" i="14" s="1"/>
  <c r="BL147" i="33" s="1"/>
  <c r="BZ12" i="14"/>
  <c r="BY12" i="14"/>
  <c r="BX12" i="14"/>
  <c r="BW12" i="14"/>
  <c r="BV12" i="14"/>
  <c r="BU12" i="14"/>
  <c r="BT12" i="14"/>
  <c r="BS12" i="14"/>
  <c r="BR12" i="14"/>
  <c r="CA12" i="14" s="1"/>
  <c r="BM12" i="14"/>
  <c r="BL12" i="14"/>
  <c r="BK12" i="14"/>
  <c r="BJ12" i="14"/>
  <c r="BI12" i="14"/>
  <c r="BH12" i="14"/>
  <c r="BG12" i="14"/>
  <c r="BZ11" i="14"/>
  <c r="BY11" i="14"/>
  <c r="BX11" i="14"/>
  <c r="BW11" i="14"/>
  <c r="BV11" i="14"/>
  <c r="BU11" i="14"/>
  <c r="BT11" i="14"/>
  <c r="BS11" i="14"/>
  <c r="BR11" i="14"/>
  <c r="CA11" i="14" s="1"/>
  <c r="CB11" i="14" s="1"/>
  <c r="BM11" i="14"/>
  <c r="BL11" i="14"/>
  <c r="BK11" i="14"/>
  <c r="BJ11" i="14"/>
  <c r="BI11" i="14"/>
  <c r="BH11" i="14"/>
  <c r="BG11" i="14"/>
  <c r="BF11" i="14"/>
  <c r="BN11" i="14" s="1"/>
  <c r="BZ10" i="14"/>
  <c r="BY10" i="14"/>
  <c r="BX10" i="14"/>
  <c r="BW10" i="14"/>
  <c r="BV10" i="14"/>
  <c r="BU10" i="14"/>
  <c r="BT10" i="14"/>
  <c r="BS10" i="14"/>
  <c r="CA10" i="14"/>
  <c r="CB10" i="14" s="1"/>
  <c r="BR10" i="14"/>
  <c r="BM10" i="14"/>
  <c r="BL10" i="14"/>
  <c r="BK10" i="14"/>
  <c r="BJ10" i="14"/>
  <c r="BI10" i="14"/>
  <c r="BO10" i="14"/>
  <c r="BH10" i="14"/>
  <c r="BG10" i="14"/>
  <c r="BF10" i="14"/>
  <c r="BN10" i="14"/>
  <c r="BZ9" i="14"/>
  <c r="BY9" i="14"/>
  <c r="BX9" i="14"/>
  <c r="BW9" i="14"/>
  <c r="BV9" i="14"/>
  <c r="BU9" i="14"/>
  <c r="BT9" i="14"/>
  <c r="BS9" i="14"/>
  <c r="BR9" i="14"/>
  <c r="CA9" i="14" s="1"/>
  <c r="CB9" i="14" s="1"/>
  <c r="BM9" i="14"/>
  <c r="BL9" i="14"/>
  <c r="BK9" i="14"/>
  <c r="BJ9" i="14"/>
  <c r="BI9" i="14"/>
  <c r="BH9" i="14"/>
  <c r="BG9" i="14"/>
  <c r="BF9" i="14"/>
  <c r="BN9" i="14"/>
  <c r="BZ8" i="14"/>
  <c r="BY8" i="14"/>
  <c r="BX8" i="14"/>
  <c r="BW8" i="14"/>
  <c r="BV8" i="14"/>
  <c r="BU8" i="14"/>
  <c r="BT8" i="14"/>
  <c r="BS8" i="14"/>
  <c r="CA8" i="14" s="1"/>
  <c r="CB8" i="14" s="1"/>
  <c r="BR8" i="14"/>
  <c r="BM8" i="14"/>
  <c r="BL8" i="14"/>
  <c r="BK8" i="14"/>
  <c r="BJ8" i="14"/>
  <c r="BI8" i="14"/>
  <c r="BO8" i="14" s="1"/>
  <c r="BH8" i="14"/>
  <c r="BG8" i="14"/>
  <c r="BF8" i="14"/>
  <c r="BN8" i="14" s="1"/>
  <c r="BP8" i="14" s="1"/>
  <c r="BZ7" i="14"/>
  <c r="BY7" i="14"/>
  <c r="BX7" i="14"/>
  <c r="BW7" i="14"/>
  <c r="BV7" i="14"/>
  <c r="BU7" i="14"/>
  <c r="BT7" i="14"/>
  <c r="BS7" i="14"/>
  <c r="BR7" i="14"/>
  <c r="BM7" i="14"/>
  <c r="BL7" i="14"/>
  <c r="BK7" i="14"/>
  <c r="BJ7" i="14"/>
  <c r="BI7" i="14"/>
  <c r="BH7" i="14"/>
  <c r="BG7" i="14"/>
  <c r="BF7" i="14"/>
  <c r="BN7" i="14"/>
  <c r="BZ20" i="13"/>
  <c r="BY20" i="13"/>
  <c r="BX20" i="13"/>
  <c r="BW20" i="13"/>
  <c r="BV20" i="13"/>
  <c r="BU20" i="13"/>
  <c r="BT20" i="13"/>
  <c r="BS20" i="13"/>
  <c r="BR20" i="13"/>
  <c r="CA20" i="13" s="1"/>
  <c r="CB20" i="13" s="1"/>
  <c r="BM20" i="13"/>
  <c r="BL20" i="13"/>
  <c r="BK20" i="13"/>
  <c r="BJ20" i="13"/>
  <c r="BI20" i="13"/>
  <c r="BO20" i="13" s="1"/>
  <c r="BH20" i="13"/>
  <c r="BG20" i="13"/>
  <c r="BF20" i="13"/>
  <c r="BN20" i="13" s="1"/>
  <c r="BZ19" i="13"/>
  <c r="BY19" i="13"/>
  <c r="BX19" i="13"/>
  <c r="BW19" i="13"/>
  <c r="BV19" i="13"/>
  <c r="BU19" i="13"/>
  <c r="BT19" i="13"/>
  <c r="BS19" i="13"/>
  <c r="BR19" i="13"/>
  <c r="CA19" i="13" s="1"/>
  <c r="CB19" i="13" s="1"/>
  <c r="BM19" i="13"/>
  <c r="BL19" i="13"/>
  <c r="BK19" i="13"/>
  <c r="BJ19" i="13"/>
  <c r="BI19" i="13"/>
  <c r="BH19" i="13"/>
  <c r="BG19" i="13"/>
  <c r="BF19" i="13"/>
  <c r="BN19" i="13" s="1"/>
  <c r="BZ18" i="13"/>
  <c r="BY18" i="13"/>
  <c r="BX18" i="13"/>
  <c r="BW18" i="13"/>
  <c r="BV18" i="13"/>
  <c r="BU18" i="13"/>
  <c r="BT18" i="13"/>
  <c r="BS18" i="13"/>
  <c r="BR18" i="13"/>
  <c r="CA18" i="13" s="1"/>
  <c r="BM18" i="13"/>
  <c r="BL18" i="13"/>
  <c r="BK18" i="13"/>
  <c r="BJ18" i="13"/>
  <c r="BI18" i="13"/>
  <c r="BH18" i="13"/>
  <c r="BG18" i="13"/>
  <c r="BF18" i="13"/>
  <c r="BN18" i="13" s="1"/>
  <c r="BL159" i="33" s="1"/>
  <c r="BZ17" i="13"/>
  <c r="BY17" i="13"/>
  <c r="BX17" i="13"/>
  <c r="BW17" i="13"/>
  <c r="BV17" i="13"/>
  <c r="BU17" i="13"/>
  <c r="BT17" i="13"/>
  <c r="BS17" i="13"/>
  <c r="BR17" i="13"/>
  <c r="BL17" i="13"/>
  <c r="BK17" i="13"/>
  <c r="BJ17" i="13"/>
  <c r="BI17" i="13"/>
  <c r="BH17" i="13"/>
  <c r="BG17" i="13"/>
  <c r="BF17" i="13"/>
  <c r="BZ16" i="13"/>
  <c r="BY16" i="13"/>
  <c r="BX16" i="13"/>
  <c r="BW16" i="13"/>
  <c r="BV16" i="13"/>
  <c r="BU16" i="13"/>
  <c r="BT16" i="13"/>
  <c r="BS16" i="13"/>
  <c r="BR16" i="13"/>
  <c r="BL16" i="13"/>
  <c r="BK16" i="13"/>
  <c r="BJ16" i="13"/>
  <c r="BI16" i="13"/>
  <c r="BH16" i="13"/>
  <c r="BG16" i="13"/>
  <c r="BF16" i="13"/>
  <c r="BZ15" i="13"/>
  <c r="BY15" i="13"/>
  <c r="BW15" i="13"/>
  <c r="BV15" i="13"/>
  <c r="BU15" i="13"/>
  <c r="BT15" i="13"/>
  <c r="BS15" i="13"/>
  <c r="BR15" i="13"/>
  <c r="BM15" i="13"/>
  <c r="BL15" i="13"/>
  <c r="BK15" i="13"/>
  <c r="BJ15" i="13"/>
  <c r="BI15" i="13"/>
  <c r="BH15" i="13"/>
  <c r="BG15" i="13"/>
  <c r="BN15" i="13" s="1"/>
  <c r="BL156" i="33" s="1"/>
  <c r="BF15" i="13"/>
  <c r="BZ14" i="13"/>
  <c r="BY14" i="13"/>
  <c r="BX14" i="13"/>
  <c r="BW14" i="13"/>
  <c r="BV14" i="13"/>
  <c r="BU14" i="13"/>
  <c r="BT14" i="13"/>
  <c r="BS14" i="13"/>
  <c r="BR14" i="13"/>
  <c r="CA14" i="13"/>
  <c r="BY155" i="33" s="1"/>
  <c r="BZ155" i="33" s="1"/>
  <c r="BM14" i="13"/>
  <c r="BL14" i="13"/>
  <c r="BK14" i="13"/>
  <c r="BJ14" i="13"/>
  <c r="BI14" i="13"/>
  <c r="BH14" i="13"/>
  <c r="BG14" i="13"/>
  <c r="BN14" i="13" s="1"/>
  <c r="BL155" i="33" s="1"/>
  <c r="BF14" i="13"/>
  <c r="BZ13" i="13"/>
  <c r="BY13" i="13"/>
  <c r="BX13" i="13"/>
  <c r="BV13" i="13"/>
  <c r="BU13" i="13"/>
  <c r="BT13" i="13"/>
  <c r="BS13" i="13"/>
  <c r="BR13" i="13"/>
  <c r="BM13" i="13"/>
  <c r="BL13" i="13"/>
  <c r="BK13" i="13"/>
  <c r="BJ13" i="13"/>
  <c r="BI13" i="13"/>
  <c r="BH13" i="13"/>
  <c r="BG13" i="13"/>
  <c r="BF13" i="13"/>
  <c r="BN13" i="13" s="1"/>
  <c r="BL154" i="33" s="1"/>
  <c r="BZ12" i="13"/>
  <c r="BY12" i="13"/>
  <c r="BX12" i="13"/>
  <c r="BW12" i="13"/>
  <c r="BV12" i="13"/>
  <c r="BU12" i="13"/>
  <c r="BT12" i="13"/>
  <c r="BS12" i="13"/>
  <c r="BR12" i="13"/>
  <c r="BM12" i="13"/>
  <c r="BL12" i="13"/>
  <c r="BK12" i="13"/>
  <c r="BJ12" i="13"/>
  <c r="BI12" i="13"/>
  <c r="BH12" i="13"/>
  <c r="BG12" i="13"/>
  <c r="BF12" i="13"/>
  <c r="BN12" i="13" s="1"/>
  <c r="BL153" i="33" s="1"/>
  <c r="BZ11" i="13"/>
  <c r="BY11" i="13"/>
  <c r="BX11" i="13"/>
  <c r="BW11" i="13"/>
  <c r="BV11" i="13"/>
  <c r="BU11" i="13"/>
  <c r="BT11" i="13"/>
  <c r="BS11" i="13"/>
  <c r="BR11" i="13"/>
  <c r="CA11" i="13" s="1"/>
  <c r="CB11" i="13" s="1"/>
  <c r="BM11" i="13"/>
  <c r="BL11" i="13"/>
  <c r="BK11" i="13"/>
  <c r="BJ11" i="13"/>
  <c r="BI11" i="13"/>
  <c r="BH11" i="13"/>
  <c r="BG11" i="13"/>
  <c r="BF11" i="13"/>
  <c r="BN11" i="13" s="1"/>
  <c r="BZ10" i="13"/>
  <c r="BY10" i="13"/>
  <c r="BX10" i="13"/>
  <c r="BW10" i="13"/>
  <c r="BV10" i="13"/>
  <c r="BU10" i="13"/>
  <c r="BT10" i="13"/>
  <c r="BS10" i="13"/>
  <c r="BR10" i="13"/>
  <c r="CA10" i="13"/>
  <c r="CB10" i="13" s="1"/>
  <c r="BM10" i="13"/>
  <c r="BL10" i="13"/>
  <c r="BK10" i="13"/>
  <c r="BJ10" i="13"/>
  <c r="BI10" i="13"/>
  <c r="BH10" i="13"/>
  <c r="BG10" i="13"/>
  <c r="BF10" i="13"/>
  <c r="BN10" i="13" s="1"/>
  <c r="BZ9" i="13"/>
  <c r="BY9" i="13"/>
  <c r="BX9" i="13"/>
  <c r="BW9" i="13"/>
  <c r="BV9" i="13"/>
  <c r="BU9" i="13"/>
  <c r="BT9" i="13"/>
  <c r="BS9" i="13"/>
  <c r="BR9" i="13"/>
  <c r="CA9" i="13" s="1"/>
  <c r="CB9" i="13" s="1"/>
  <c r="BM9" i="13"/>
  <c r="BL9" i="13"/>
  <c r="BK9" i="13"/>
  <c r="BJ9" i="13"/>
  <c r="BI9" i="13"/>
  <c r="BO9" i="13"/>
  <c r="BH9" i="13"/>
  <c r="BG9" i="13"/>
  <c r="BF9" i="13"/>
  <c r="BN9" i="13"/>
  <c r="BP9" i="13" s="1"/>
  <c r="BZ8" i="13"/>
  <c r="BY8" i="13"/>
  <c r="BX8" i="13"/>
  <c r="BW8" i="13"/>
  <c r="BV8" i="13"/>
  <c r="BU8" i="13"/>
  <c r="BT8" i="13"/>
  <c r="BS8" i="13"/>
  <c r="CA8" i="13"/>
  <c r="CB8" i="13" s="1"/>
  <c r="BR8" i="13"/>
  <c r="BM8" i="13"/>
  <c r="BL8" i="13"/>
  <c r="BK8" i="13"/>
  <c r="BJ8" i="13"/>
  <c r="BI8" i="13"/>
  <c r="BO8" i="13"/>
  <c r="BH8" i="13"/>
  <c r="BG8" i="13"/>
  <c r="BF8" i="13"/>
  <c r="BN8" i="13"/>
  <c r="BZ7" i="13"/>
  <c r="BY7" i="13"/>
  <c r="BX7" i="13"/>
  <c r="BW7" i="13"/>
  <c r="BV7" i="13"/>
  <c r="BU7" i="13"/>
  <c r="BT7" i="13"/>
  <c r="BS7" i="13"/>
  <c r="CA7" i="13" s="1"/>
  <c r="CB7" i="13" s="1"/>
  <c r="BR7" i="13"/>
  <c r="BM7" i="13"/>
  <c r="BL7" i="13"/>
  <c r="BK7" i="13"/>
  <c r="BJ7" i="13"/>
  <c r="BI7" i="13"/>
  <c r="BO7" i="13" s="1"/>
  <c r="BH7" i="13"/>
  <c r="BG7" i="13"/>
  <c r="BF7" i="13"/>
  <c r="BN7" i="13" s="1"/>
  <c r="BZ20" i="29"/>
  <c r="BY20" i="29"/>
  <c r="BX20" i="29"/>
  <c r="BW20" i="29"/>
  <c r="BV20" i="29"/>
  <c r="BU20" i="29"/>
  <c r="BT20" i="29"/>
  <c r="BS20" i="29"/>
  <c r="BR20" i="29"/>
  <c r="CA20" i="29" s="1"/>
  <c r="CB20" i="29" s="1"/>
  <c r="BM20" i="29"/>
  <c r="BL20" i="29"/>
  <c r="BK20" i="29"/>
  <c r="BJ20" i="29"/>
  <c r="BI20" i="29"/>
  <c r="BH20" i="29"/>
  <c r="BG20" i="29"/>
  <c r="BF20" i="29"/>
  <c r="BZ19" i="29"/>
  <c r="BY19" i="29"/>
  <c r="BX19" i="29"/>
  <c r="BW19" i="29"/>
  <c r="BV19" i="29"/>
  <c r="BU19" i="29"/>
  <c r="BT19" i="29"/>
  <c r="BS19" i="29"/>
  <c r="BR19" i="29"/>
  <c r="BM19" i="29"/>
  <c r="BL19" i="29"/>
  <c r="BK19" i="29"/>
  <c r="BJ19" i="29"/>
  <c r="BI19" i="29"/>
  <c r="BH19" i="29"/>
  <c r="BG19" i="29"/>
  <c r="BN19" i="29" s="1"/>
  <c r="BF19" i="29"/>
  <c r="BZ18" i="29"/>
  <c r="BY18" i="29"/>
  <c r="BX18" i="29"/>
  <c r="BW18" i="29"/>
  <c r="BV18" i="29"/>
  <c r="BU18" i="29"/>
  <c r="BT18" i="29"/>
  <c r="BS18" i="29"/>
  <c r="BR18" i="29"/>
  <c r="BM18" i="29"/>
  <c r="BL18" i="29"/>
  <c r="BK18" i="29"/>
  <c r="BJ18" i="29"/>
  <c r="BI18" i="29"/>
  <c r="BH18" i="29"/>
  <c r="BG18" i="29"/>
  <c r="BF18" i="29"/>
  <c r="BZ17" i="29"/>
  <c r="BY17" i="29"/>
  <c r="BX17" i="29"/>
  <c r="BW17" i="29"/>
  <c r="BV17" i="29"/>
  <c r="BU17" i="29"/>
  <c r="BT17" i="29"/>
  <c r="BS17" i="29"/>
  <c r="CB17" i="29"/>
  <c r="BR17" i="29"/>
  <c r="CA17" i="29" s="1"/>
  <c r="BY165" i="33" s="1"/>
  <c r="BZ165" i="33" s="1"/>
  <c r="BM17" i="29"/>
  <c r="BL17" i="29"/>
  <c r="BK17" i="29"/>
  <c r="BJ17" i="29"/>
  <c r="BI17" i="29"/>
  <c r="BH17" i="29"/>
  <c r="BG17" i="29"/>
  <c r="BF17" i="29"/>
  <c r="BZ16" i="29"/>
  <c r="BY16" i="29"/>
  <c r="BX16" i="29"/>
  <c r="BW16" i="29"/>
  <c r="BV16" i="29"/>
  <c r="BU16" i="29"/>
  <c r="BT16" i="29"/>
  <c r="BS16" i="29"/>
  <c r="BR16" i="29"/>
  <c r="BM16" i="29"/>
  <c r="BL16" i="29"/>
  <c r="BK16" i="29"/>
  <c r="BJ16" i="29"/>
  <c r="BI16" i="29"/>
  <c r="BH16" i="29"/>
  <c r="BG16" i="29"/>
  <c r="BF16" i="29"/>
  <c r="BY15" i="29"/>
  <c r="BX15" i="29"/>
  <c r="BW15" i="29"/>
  <c r="BV15" i="29"/>
  <c r="BU15" i="29"/>
  <c r="BT15" i="29"/>
  <c r="BS15" i="29"/>
  <c r="BR15" i="29"/>
  <c r="BM15" i="29"/>
  <c r="BL15" i="29"/>
  <c r="BK15" i="29"/>
  <c r="BJ15" i="29"/>
  <c r="BI15" i="29"/>
  <c r="BH15" i="29"/>
  <c r="BG15" i="29"/>
  <c r="BF15" i="29"/>
  <c r="BN15" i="29" s="1"/>
  <c r="BL163" i="33" s="1"/>
  <c r="BZ14" i="29"/>
  <c r="BY14" i="29"/>
  <c r="BX14" i="29"/>
  <c r="BW14" i="29"/>
  <c r="BV14" i="29"/>
  <c r="BU14" i="29"/>
  <c r="BT14" i="29"/>
  <c r="BS14" i="29"/>
  <c r="BR14" i="29"/>
  <c r="CA14" i="29" s="1"/>
  <c r="BM14" i="29"/>
  <c r="BL14" i="29"/>
  <c r="BK14" i="29"/>
  <c r="BJ14" i="29"/>
  <c r="BO14" i="29" s="1"/>
  <c r="BM162" i="33" s="1"/>
  <c r="BI14" i="29"/>
  <c r="BH14" i="29"/>
  <c r="BG14" i="29"/>
  <c r="BF14" i="29"/>
  <c r="BZ13" i="29"/>
  <c r="BY13" i="29"/>
  <c r="BX13" i="29"/>
  <c r="BW13" i="29"/>
  <c r="BV13" i="29"/>
  <c r="BU13" i="29"/>
  <c r="BT13" i="29"/>
  <c r="BS13" i="29"/>
  <c r="BR13" i="29"/>
  <c r="BM13" i="29"/>
  <c r="BL13" i="29"/>
  <c r="BK13" i="29"/>
  <c r="BJ13" i="29"/>
  <c r="BI13" i="29"/>
  <c r="BH13" i="29"/>
  <c r="BG13" i="29"/>
  <c r="BF13" i="29"/>
  <c r="BY12" i="29"/>
  <c r="BX12" i="29"/>
  <c r="BW12" i="29"/>
  <c r="BV12" i="29"/>
  <c r="BU12" i="29"/>
  <c r="BT12" i="29"/>
  <c r="BS12" i="29"/>
  <c r="BR12" i="29"/>
  <c r="BM12" i="29"/>
  <c r="BL12" i="29"/>
  <c r="BK12" i="29"/>
  <c r="BJ12" i="29"/>
  <c r="BI12" i="29"/>
  <c r="BH12" i="29"/>
  <c r="BG12" i="29"/>
  <c r="BF12" i="29"/>
  <c r="BZ11" i="29"/>
  <c r="BY11" i="29"/>
  <c r="BX11" i="29"/>
  <c r="BW11" i="29"/>
  <c r="BV11" i="29"/>
  <c r="BU11" i="29"/>
  <c r="BT11" i="29"/>
  <c r="BS11" i="29"/>
  <c r="BR11" i="29"/>
  <c r="BM11" i="29"/>
  <c r="BL11" i="29"/>
  <c r="BK11" i="29"/>
  <c r="BJ11" i="29"/>
  <c r="BI11" i="29"/>
  <c r="BH11" i="29"/>
  <c r="BG11" i="29"/>
  <c r="BN11" i="29" s="1"/>
  <c r="BF11" i="29"/>
  <c r="BZ10" i="29"/>
  <c r="BY10" i="29"/>
  <c r="BX10" i="29"/>
  <c r="BW10" i="29"/>
  <c r="BV10" i="29"/>
  <c r="BU10" i="29"/>
  <c r="BT10" i="29"/>
  <c r="BS10" i="29"/>
  <c r="BR10" i="29"/>
  <c r="BM10" i="29"/>
  <c r="BL10" i="29"/>
  <c r="BK10" i="29"/>
  <c r="BJ10" i="29"/>
  <c r="BI10" i="29"/>
  <c r="BH10" i="29"/>
  <c r="BG10" i="29"/>
  <c r="BF10" i="29"/>
  <c r="BZ9" i="29"/>
  <c r="BY9" i="29"/>
  <c r="BX9" i="29"/>
  <c r="BW9" i="29"/>
  <c r="BV9" i="29"/>
  <c r="BU9" i="29"/>
  <c r="BT9" i="29"/>
  <c r="BS9" i="29"/>
  <c r="CA9" i="29" s="1"/>
  <c r="CB9" i="29" s="1"/>
  <c r="BR9" i="29"/>
  <c r="BM9" i="29"/>
  <c r="BL9" i="29"/>
  <c r="BK9" i="29"/>
  <c r="BJ9" i="29"/>
  <c r="BI9" i="29"/>
  <c r="BH9" i="29"/>
  <c r="BG9" i="29"/>
  <c r="BF9" i="29"/>
  <c r="BZ8" i="29"/>
  <c r="BY8" i="29"/>
  <c r="BX8" i="29"/>
  <c r="BW8" i="29"/>
  <c r="BV8" i="29"/>
  <c r="BU8" i="29"/>
  <c r="BT8" i="29"/>
  <c r="BS8" i="29"/>
  <c r="BR8" i="29"/>
  <c r="CA8" i="29"/>
  <c r="CB8" i="29" s="1"/>
  <c r="BM8" i="29"/>
  <c r="BL8" i="29"/>
  <c r="BK8" i="29"/>
  <c r="BJ8" i="29"/>
  <c r="BI8" i="29"/>
  <c r="BH8" i="29"/>
  <c r="BG8" i="29"/>
  <c r="BF8" i="29"/>
  <c r="BN8" i="29" s="1"/>
  <c r="BZ7" i="29"/>
  <c r="BY7" i="29"/>
  <c r="BX7" i="29"/>
  <c r="BW7" i="29"/>
  <c r="BV7" i="29"/>
  <c r="BU7" i="29"/>
  <c r="BT7" i="29"/>
  <c r="BS7" i="29"/>
  <c r="BR7" i="29"/>
  <c r="CA7" i="29" s="1"/>
  <c r="CB7" i="29"/>
  <c r="BM7" i="29"/>
  <c r="BL7" i="29"/>
  <c r="BK7" i="29"/>
  <c r="BJ7" i="29"/>
  <c r="BI7" i="29"/>
  <c r="BH7" i="29"/>
  <c r="BG7" i="29"/>
  <c r="BF7" i="29"/>
  <c r="BN7" i="29" s="1"/>
  <c r="BZ20" i="17"/>
  <c r="BY20" i="17"/>
  <c r="BX20" i="17"/>
  <c r="BW20" i="17"/>
  <c r="BV20" i="17"/>
  <c r="BU20" i="17"/>
  <c r="BT20" i="17"/>
  <c r="BS20" i="17"/>
  <c r="BR20" i="17"/>
  <c r="CA20" i="17" s="1"/>
  <c r="CB20" i="17" s="1"/>
  <c r="BM20" i="17"/>
  <c r="BL20" i="17"/>
  <c r="BK20" i="17"/>
  <c r="BJ20" i="17"/>
  <c r="BI20" i="17"/>
  <c r="BO20" i="17"/>
  <c r="BH20" i="17"/>
  <c r="BG20" i="17"/>
  <c r="BF20" i="17"/>
  <c r="BN20" i="17"/>
  <c r="BZ19" i="17"/>
  <c r="BY19" i="17"/>
  <c r="BX19" i="17"/>
  <c r="BW19" i="17"/>
  <c r="BV19" i="17"/>
  <c r="BU19" i="17"/>
  <c r="BT19" i="17"/>
  <c r="BS19" i="17"/>
  <c r="BR19" i="17"/>
  <c r="CA19" i="17" s="1"/>
  <c r="CB19" i="17" s="1"/>
  <c r="BM19" i="17"/>
  <c r="BL19" i="17"/>
  <c r="BK19" i="17"/>
  <c r="BJ19" i="17"/>
  <c r="BI19" i="17"/>
  <c r="BH19" i="17"/>
  <c r="BG19" i="17"/>
  <c r="BF19" i="17"/>
  <c r="BN19" i="17"/>
  <c r="BZ18" i="17"/>
  <c r="BY18" i="17"/>
  <c r="BX18" i="17"/>
  <c r="BW18" i="17"/>
  <c r="BV18" i="17"/>
  <c r="BU18" i="17"/>
  <c r="BT18" i="17"/>
  <c r="BS18" i="17"/>
  <c r="BR18" i="17"/>
  <c r="CA18" i="17"/>
  <c r="BM18" i="17"/>
  <c r="BL18" i="17"/>
  <c r="BK18" i="17"/>
  <c r="BJ18" i="17"/>
  <c r="BI18" i="17"/>
  <c r="BH18" i="17"/>
  <c r="BG18" i="17"/>
  <c r="BN18" i="17" s="1"/>
  <c r="BL173" i="33" s="1"/>
  <c r="BF18" i="17"/>
  <c r="BZ17" i="17"/>
  <c r="BY17" i="17"/>
  <c r="BX17" i="17"/>
  <c r="BW17" i="17"/>
  <c r="BV17" i="17"/>
  <c r="BU17" i="17"/>
  <c r="BT17" i="17"/>
  <c r="BS17" i="17"/>
  <c r="BR17" i="17"/>
  <c r="BM17" i="17"/>
  <c r="BL17" i="17"/>
  <c r="BK17" i="17"/>
  <c r="BJ17" i="17"/>
  <c r="BI17" i="17"/>
  <c r="BH17" i="17"/>
  <c r="BG17" i="17"/>
  <c r="BF17" i="17"/>
  <c r="BN17" i="17"/>
  <c r="BL172" i="33" s="1"/>
  <c r="BZ16" i="17"/>
  <c r="BY16" i="17"/>
  <c r="BX16" i="17"/>
  <c r="BW16" i="17"/>
  <c r="BV16" i="17"/>
  <c r="BU16" i="17"/>
  <c r="BT16" i="17"/>
  <c r="BS16" i="17"/>
  <c r="CA16" i="17" s="1"/>
  <c r="BR16" i="17"/>
  <c r="BL16" i="17"/>
  <c r="BK16" i="17"/>
  <c r="BJ16" i="17"/>
  <c r="BI16" i="17"/>
  <c r="BH16" i="17"/>
  <c r="BG16" i="17"/>
  <c r="BF16" i="17"/>
  <c r="BN16" i="17" s="1"/>
  <c r="BL171" i="33" s="1"/>
  <c r="BZ15" i="17"/>
  <c r="BY15" i="17"/>
  <c r="BX15" i="17"/>
  <c r="BW15" i="17"/>
  <c r="BV15" i="17"/>
  <c r="BU15" i="17"/>
  <c r="BT15" i="17"/>
  <c r="BS15" i="17"/>
  <c r="CA15" i="17"/>
  <c r="BR15" i="17"/>
  <c r="BM15" i="17"/>
  <c r="BL15" i="17"/>
  <c r="BK15" i="17"/>
  <c r="BJ15" i="17"/>
  <c r="BI15" i="17"/>
  <c r="BH15" i="17"/>
  <c r="BG15" i="17"/>
  <c r="BF15" i="17"/>
  <c r="BZ14" i="17"/>
  <c r="BY14" i="17"/>
  <c r="BX14" i="17"/>
  <c r="BW14" i="17"/>
  <c r="BV14" i="17"/>
  <c r="CA14" i="17" s="1"/>
  <c r="BY169" i="33" s="1"/>
  <c r="BZ169" i="33" s="1"/>
  <c r="BU14" i="17"/>
  <c r="BT14" i="17"/>
  <c r="BS14" i="17"/>
  <c r="CB14" i="17"/>
  <c r="BR14" i="17"/>
  <c r="BM14" i="17"/>
  <c r="BL14" i="17"/>
  <c r="BK14" i="17"/>
  <c r="BJ14" i="17"/>
  <c r="BI14" i="17"/>
  <c r="BH14" i="17"/>
  <c r="BG14" i="17"/>
  <c r="BZ13" i="17"/>
  <c r="BY13" i="17"/>
  <c r="BX13" i="17"/>
  <c r="BW13" i="17"/>
  <c r="BV13" i="17"/>
  <c r="BU13" i="17"/>
  <c r="BT13" i="17"/>
  <c r="BS13" i="17"/>
  <c r="BR13" i="17"/>
  <c r="CA13" i="17" s="1"/>
  <c r="BY168" i="33" s="1"/>
  <c r="BZ168" i="33" s="1"/>
  <c r="BM13" i="17"/>
  <c r="BL13" i="17"/>
  <c r="BK13" i="17"/>
  <c r="BJ13" i="17"/>
  <c r="BI13" i="17"/>
  <c r="BH13" i="17"/>
  <c r="BG13" i="17"/>
  <c r="BF13" i="17"/>
  <c r="BN13" i="17" s="1"/>
  <c r="BL168" i="33" s="1"/>
  <c r="BZ12" i="17"/>
  <c r="BY12" i="17"/>
  <c r="BW12" i="17"/>
  <c r="BV12" i="17"/>
  <c r="BU12" i="17"/>
  <c r="BT12" i="17"/>
  <c r="BS12" i="17"/>
  <c r="BR12" i="17"/>
  <c r="BM12" i="17"/>
  <c r="BL12" i="17"/>
  <c r="BK12" i="17"/>
  <c r="BJ12" i="17"/>
  <c r="BI12" i="17"/>
  <c r="BH12" i="17"/>
  <c r="BG12" i="17"/>
  <c r="BF12" i="17"/>
  <c r="BZ11" i="17"/>
  <c r="BY11" i="17"/>
  <c r="BX11" i="17"/>
  <c r="BW11" i="17"/>
  <c r="BV11" i="17"/>
  <c r="BU11" i="17"/>
  <c r="BT11" i="17"/>
  <c r="BS11" i="17"/>
  <c r="CA11" i="17"/>
  <c r="CB11" i="17" s="1"/>
  <c r="BR11" i="17"/>
  <c r="BM11" i="17"/>
  <c r="BL11" i="17"/>
  <c r="BK11" i="17"/>
  <c r="BJ11" i="17"/>
  <c r="BI11" i="17"/>
  <c r="BH11" i="17"/>
  <c r="BG11" i="17"/>
  <c r="BF11" i="17"/>
  <c r="BN11" i="17" s="1"/>
  <c r="BZ10" i="17"/>
  <c r="BY10" i="17"/>
  <c r="BX10" i="17"/>
  <c r="BW10" i="17"/>
  <c r="BV10" i="17"/>
  <c r="CA10" i="17" s="1"/>
  <c r="BU10" i="17"/>
  <c r="BT10" i="17"/>
  <c r="BS10" i="17"/>
  <c r="CB10" i="17"/>
  <c r="BR10" i="17"/>
  <c r="BM10" i="17"/>
  <c r="BL10" i="17"/>
  <c r="BK10" i="17"/>
  <c r="BJ10" i="17"/>
  <c r="BI10" i="17"/>
  <c r="BH10" i="17"/>
  <c r="BG10" i="17"/>
  <c r="BF10" i="17"/>
  <c r="BN10" i="17" s="1"/>
  <c r="BZ9" i="17"/>
  <c r="BY9" i="17"/>
  <c r="BX9" i="17"/>
  <c r="BW9" i="17"/>
  <c r="BV9" i="17"/>
  <c r="BU9" i="17"/>
  <c r="BT9" i="17"/>
  <c r="BS9" i="17"/>
  <c r="BR9" i="17"/>
  <c r="BM9" i="17"/>
  <c r="BL9" i="17"/>
  <c r="BK9" i="17"/>
  <c r="BJ9" i="17"/>
  <c r="BI9" i="17"/>
  <c r="BH9" i="17"/>
  <c r="BG9" i="17"/>
  <c r="BF9" i="17"/>
  <c r="BN9" i="17" s="1"/>
  <c r="BZ8" i="17"/>
  <c r="BY8" i="17"/>
  <c r="BX8" i="17"/>
  <c r="BW8" i="17"/>
  <c r="BV8" i="17"/>
  <c r="BU8" i="17"/>
  <c r="BT8" i="17"/>
  <c r="BS8" i="17"/>
  <c r="BR8" i="17"/>
  <c r="CA8" i="17" s="1"/>
  <c r="CB8" i="17" s="1"/>
  <c r="BM8" i="17"/>
  <c r="BL8" i="17"/>
  <c r="BK8" i="17"/>
  <c r="BJ8" i="17"/>
  <c r="BO8" i="17" s="1"/>
  <c r="BI8" i="17"/>
  <c r="BH8" i="17"/>
  <c r="BG8" i="17"/>
  <c r="BF8" i="17"/>
  <c r="BN8" i="17"/>
  <c r="BZ7" i="17"/>
  <c r="BY7" i="17"/>
  <c r="BX7" i="17"/>
  <c r="BW7" i="17"/>
  <c r="BV7" i="17"/>
  <c r="BU7" i="17"/>
  <c r="BT7" i="17"/>
  <c r="BS7" i="17"/>
  <c r="BR7" i="17"/>
  <c r="CA7" i="17" s="1"/>
  <c r="CB7" i="17" s="1"/>
  <c r="BM7" i="17"/>
  <c r="BL7" i="17"/>
  <c r="BK7" i="17"/>
  <c r="BJ7" i="17"/>
  <c r="BI7" i="17"/>
  <c r="BH7" i="17"/>
  <c r="BG7" i="17"/>
  <c r="BF7" i="17"/>
  <c r="BN7" i="17"/>
  <c r="BZ20" i="16"/>
  <c r="BY20" i="16"/>
  <c r="BX20" i="16"/>
  <c r="BW20" i="16"/>
  <c r="BV20" i="16"/>
  <c r="BU20" i="16"/>
  <c r="BT20" i="16"/>
  <c r="BS20" i="16"/>
  <c r="BR20" i="16"/>
  <c r="CA20" i="16" s="1"/>
  <c r="CB20" i="16" s="1"/>
  <c r="BM20" i="16"/>
  <c r="BL20" i="16"/>
  <c r="BK20" i="16"/>
  <c r="BJ20" i="16"/>
  <c r="BI20" i="16"/>
  <c r="BH20" i="16"/>
  <c r="BG20" i="16"/>
  <c r="BF20" i="16"/>
  <c r="BN20" i="16"/>
  <c r="BZ19" i="16"/>
  <c r="BY19" i="16"/>
  <c r="BX19" i="16"/>
  <c r="BW19" i="16"/>
  <c r="BV19" i="16"/>
  <c r="BU19" i="16"/>
  <c r="BT19" i="16"/>
  <c r="BS19" i="16"/>
  <c r="BR19" i="16"/>
  <c r="CA19" i="16"/>
  <c r="CB19" i="16" s="1"/>
  <c r="BM19" i="16"/>
  <c r="BL19" i="16"/>
  <c r="BK19" i="16"/>
  <c r="BJ19" i="16"/>
  <c r="BI19" i="16"/>
  <c r="BH19" i="16"/>
  <c r="BG19" i="16"/>
  <c r="BF19" i="16"/>
  <c r="BN19" i="16"/>
  <c r="BY18" i="16"/>
  <c r="BW18" i="16"/>
  <c r="BV18" i="16"/>
  <c r="BU18" i="16"/>
  <c r="BT18" i="16"/>
  <c r="BS18" i="16"/>
  <c r="BR18" i="16"/>
  <c r="BM18" i="16"/>
  <c r="BL18" i="16"/>
  <c r="BK18" i="16"/>
  <c r="BJ18" i="16"/>
  <c r="BI18" i="16"/>
  <c r="BH18" i="16"/>
  <c r="BG18" i="16"/>
  <c r="BF18" i="16"/>
  <c r="BN18" i="16" s="1"/>
  <c r="BL180" i="33" s="1"/>
  <c r="BZ17" i="16"/>
  <c r="BY17" i="16"/>
  <c r="BX17" i="16"/>
  <c r="BW17" i="16"/>
  <c r="BV17" i="16"/>
  <c r="BU17" i="16"/>
  <c r="BT17" i="16"/>
  <c r="CA17" i="16" s="1"/>
  <c r="BS17" i="16"/>
  <c r="BR17" i="16"/>
  <c r="BM17" i="16"/>
  <c r="BL17" i="16"/>
  <c r="BK17" i="16"/>
  <c r="BJ17" i="16"/>
  <c r="BI17" i="16"/>
  <c r="BH17" i="16"/>
  <c r="BG17" i="16"/>
  <c r="BF17" i="16"/>
  <c r="BZ16" i="16"/>
  <c r="BY16" i="16"/>
  <c r="BX16" i="16"/>
  <c r="BV16" i="16"/>
  <c r="BU16" i="16"/>
  <c r="BT16" i="16"/>
  <c r="BS16" i="16"/>
  <c r="BR16" i="16"/>
  <c r="BM16" i="16"/>
  <c r="BL16" i="16"/>
  <c r="BK16" i="16"/>
  <c r="BJ16" i="16"/>
  <c r="BI16" i="16"/>
  <c r="BH16" i="16"/>
  <c r="BG16" i="16"/>
  <c r="BF16" i="16"/>
  <c r="BN16" i="16"/>
  <c r="BL178" i="33" s="1"/>
  <c r="BZ15" i="16"/>
  <c r="BY15" i="16"/>
  <c r="BX15" i="16"/>
  <c r="BW15" i="16"/>
  <c r="BV15" i="16"/>
  <c r="BU15" i="16"/>
  <c r="BT15" i="16"/>
  <c r="BS15" i="16"/>
  <c r="BR15" i="16"/>
  <c r="BM15" i="16"/>
  <c r="BL15" i="16"/>
  <c r="BK15" i="16"/>
  <c r="BJ15" i="16"/>
  <c r="BI15" i="16"/>
  <c r="BH15" i="16"/>
  <c r="BG15" i="16"/>
  <c r="BZ14" i="16"/>
  <c r="BY14" i="16"/>
  <c r="BX14" i="16"/>
  <c r="BW14" i="16"/>
  <c r="BV14" i="16"/>
  <c r="BU14" i="16"/>
  <c r="BT14" i="16"/>
  <c r="BS14" i="16"/>
  <c r="BR14" i="16"/>
  <c r="BM14" i="16"/>
  <c r="BL14" i="16"/>
  <c r="BK14" i="16"/>
  <c r="BJ14" i="16"/>
  <c r="BI14" i="16"/>
  <c r="BH14" i="16"/>
  <c r="BG14" i="16"/>
  <c r="BF14" i="16"/>
  <c r="BZ13" i="16"/>
  <c r="BY13" i="16"/>
  <c r="BX13" i="16"/>
  <c r="BW13" i="16"/>
  <c r="BV13" i="16"/>
  <c r="BU13" i="16"/>
  <c r="BT13" i="16"/>
  <c r="BS13" i="16"/>
  <c r="CB13" i="16"/>
  <c r="BR13" i="16"/>
  <c r="CA13" i="16" s="1"/>
  <c r="BY175" i="33" s="1"/>
  <c r="BZ175" i="33" s="1"/>
  <c r="BM13" i="16"/>
  <c r="BL13" i="16"/>
  <c r="BK13" i="16"/>
  <c r="BJ13" i="16"/>
  <c r="BI13" i="16"/>
  <c r="BH13" i="16"/>
  <c r="BG13" i="16"/>
  <c r="BZ12" i="16"/>
  <c r="BY12" i="16"/>
  <c r="BX12" i="16"/>
  <c r="BV12" i="16"/>
  <c r="BU12" i="16"/>
  <c r="BT12" i="16"/>
  <c r="BS12" i="16"/>
  <c r="BR12" i="16"/>
  <c r="BM12" i="16"/>
  <c r="BL12" i="16"/>
  <c r="BK12" i="16"/>
  <c r="BJ12" i="16"/>
  <c r="BI12" i="16"/>
  <c r="BH12" i="16"/>
  <c r="BG12" i="16"/>
  <c r="BZ11" i="16"/>
  <c r="BY11" i="16"/>
  <c r="BX11" i="16"/>
  <c r="BW11" i="16"/>
  <c r="BV11" i="16"/>
  <c r="BU11" i="16"/>
  <c r="BT11" i="16"/>
  <c r="BS11" i="16"/>
  <c r="BR11" i="16"/>
  <c r="CA11" i="16" s="1"/>
  <c r="CB11" i="16" s="1"/>
  <c r="BM11" i="16"/>
  <c r="BL11" i="16"/>
  <c r="BK11" i="16"/>
  <c r="BJ11" i="16"/>
  <c r="BI11" i="16"/>
  <c r="BH11" i="16"/>
  <c r="BG11" i="16"/>
  <c r="BF11" i="16"/>
  <c r="BN11" i="16" s="1"/>
  <c r="BZ10" i="16"/>
  <c r="BY10" i="16"/>
  <c r="BX10" i="16"/>
  <c r="BW10" i="16"/>
  <c r="BV10" i="16"/>
  <c r="BU10" i="16"/>
  <c r="BT10" i="16"/>
  <c r="BS10" i="16"/>
  <c r="CA10" i="16"/>
  <c r="CB10" i="16" s="1"/>
  <c r="BR10" i="16"/>
  <c r="BM10" i="16"/>
  <c r="BL10" i="16"/>
  <c r="BK10" i="16"/>
  <c r="BJ10" i="16"/>
  <c r="BI10" i="16"/>
  <c r="BO10" i="16"/>
  <c r="BH10" i="16"/>
  <c r="BG10" i="16"/>
  <c r="BF10" i="16"/>
  <c r="BN10" i="16"/>
  <c r="BZ9" i="16"/>
  <c r="BY9" i="16"/>
  <c r="BX9" i="16"/>
  <c r="BW9" i="16"/>
  <c r="BV9" i="16"/>
  <c r="BU9" i="16"/>
  <c r="BT9" i="16"/>
  <c r="BS9" i="16"/>
  <c r="BR9" i="16"/>
  <c r="BM9" i="16"/>
  <c r="BL9" i="16"/>
  <c r="BK9" i="16"/>
  <c r="BJ9" i="16"/>
  <c r="BI9" i="16"/>
  <c r="BH9" i="16"/>
  <c r="BG9" i="16"/>
  <c r="BF9" i="16"/>
  <c r="BN9" i="16"/>
  <c r="BZ8" i="16"/>
  <c r="BY8" i="16"/>
  <c r="BX8" i="16"/>
  <c r="BW8" i="16"/>
  <c r="BV8" i="16"/>
  <c r="BU8" i="16"/>
  <c r="BT8" i="16"/>
  <c r="BS8" i="16"/>
  <c r="BR8" i="16"/>
  <c r="CA8" i="16" s="1"/>
  <c r="CB8" i="16" s="1"/>
  <c r="BM8" i="16"/>
  <c r="BL8" i="16"/>
  <c r="BK8" i="16"/>
  <c r="BJ8" i="16"/>
  <c r="BI8" i="16"/>
  <c r="BH8" i="16"/>
  <c r="BG8" i="16"/>
  <c r="BF8" i="16"/>
  <c r="BN8" i="16"/>
  <c r="BZ7" i="16"/>
  <c r="BY7" i="16"/>
  <c r="BX7" i="16"/>
  <c r="BW7" i="16"/>
  <c r="BV7" i="16"/>
  <c r="BU7" i="16"/>
  <c r="BT7" i="16"/>
  <c r="BS7" i="16"/>
  <c r="BR7" i="16"/>
  <c r="BM7" i="16"/>
  <c r="BL7" i="16"/>
  <c r="BK7" i="16"/>
  <c r="BJ7" i="16"/>
  <c r="BI7" i="16"/>
  <c r="BH7" i="16"/>
  <c r="BG7" i="16"/>
  <c r="BF7" i="16"/>
  <c r="BN7" i="16"/>
  <c r="BZ20" i="21"/>
  <c r="BY20" i="21"/>
  <c r="BX20" i="21"/>
  <c r="BW20" i="21"/>
  <c r="BV20" i="21"/>
  <c r="BU20" i="21"/>
  <c r="BT20" i="21"/>
  <c r="BS20" i="21"/>
  <c r="BR20" i="21"/>
  <c r="BM20" i="21"/>
  <c r="BL20" i="21"/>
  <c r="BK20" i="21"/>
  <c r="BJ20" i="21"/>
  <c r="BI20" i="21"/>
  <c r="BO20" i="21" s="1"/>
  <c r="BH20" i="21"/>
  <c r="BG20" i="21"/>
  <c r="BF20" i="21"/>
  <c r="BZ19" i="21"/>
  <c r="BY19" i="21"/>
  <c r="BX19" i="21"/>
  <c r="BW19" i="21"/>
  <c r="BV19" i="21"/>
  <c r="BU19" i="21"/>
  <c r="BT19" i="21"/>
  <c r="BS19" i="21"/>
  <c r="BR19" i="21"/>
  <c r="BM19" i="21"/>
  <c r="BL19" i="21"/>
  <c r="BK19" i="21"/>
  <c r="BJ19" i="21"/>
  <c r="BI19" i="21"/>
  <c r="BH19" i="21"/>
  <c r="BG19" i="21"/>
  <c r="BF19" i="21"/>
  <c r="BZ18" i="21"/>
  <c r="BY18" i="21"/>
  <c r="BX18" i="21"/>
  <c r="BW18" i="21"/>
  <c r="BV18" i="21"/>
  <c r="BU18" i="21"/>
  <c r="BS18" i="21"/>
  <c r="BR18" i="21"/>
  <c r="BM18" i="21"/>
  <c r="BL18" i="21"/>
  <c r="BK18" i="21"/>
  <c r="BJ18" i="21"/>
  <c r="BI18" i="21"/>
  <c r="BH18" i="21"/>
  <c r="BG18" i="21"/>
  <c r="BF18" i="21"/>
  <c r="BZ17" i="21"/>
  <c r="BY17" i="21"/>
  <c r="BX17" i="21"/>
  <c r="BW17" i="21"/>
  <c r="BV17" i="21"/>
  <c r="BU17" i="21"/>
  <c r="BS17" i="21"/>
  <c r="BR17" i="21"/>
  <c r="BL17" i="21"/>
  <c r="BK17" i="21"/>
  <c r="BJ17" i="21"/>
  <c r="BH17" i="21"/>
  <c r="BG17" i="21"/>
  <c r="BN17" i="21" s="1"/>
  <c r="BL186" i="33" s="1"/>
  <c r="BF17" i="21"/>
  <c r="BZ16" i="21"/>
  <c r="BY16" i="21"/>
  <c r="BX16" i="21"/>
  <c r="BW16" i="21"/>
  <c r="BV16" i="21"/>
  <c r="BU16" i="21"/>
  <c r="BT16" i="21"/>
  <c r="BS16" i="21"/>
  <c r="BR16" i="21"/>
  <c r="BL16" i="21"/>
  <c r="BK16" i="21"/>
  <c r="BJ16" i="21"/>
  <c r="BI16" i="21"/>
  <c r="BH16" i="21"/>
  <c r="BG16" i="21"/>
  <c r="BF16" i="21"/>
  <c r="BZ15" i="21"/>
  <c r="BY15" i="21"/>
  <c r="BX15" i="21"/>
  <c r="BW15" i="21"/>
  <c r="BV15" i="21"/>
  <c r="BU15" i="21"/>
  <c r="BT15" i="21"/>
  <c r="BS15" i="21"/>
  <c r="BR15" i="21"/>
  <c r="BM15" i="21"/>
  <c r="BL15" i="21"/>
  <c r="BK15" i="21"/>
  <c r="BJ15" i="21"/>
  <c r="BI15" i="21"/>
  <c r="BH15" i="21"/>
  <c r="BG15" i="21"/>
  <c r="BZ14" i="21"/>
  <c r="BY14" i="21"/>
  <c r="BX14" i="21"/>
  <c r="BW14" i="21"/>
  <c r="BV14" i="21"/>
  <c r="BU14" i="21"/>
  <c r="BT14" i="21"/>
  <c r="BS14" i="21"/>
  <c r="BR14" i="21"/>
  <c r="BM14" i="21"/>
  <c r="BL14" i="21"/>
  <c r="BK14" i="21"/>
  <c r="BJ14" i="21"/>
  <c r="BI14" i="21"/>
  <c r="BH14" i="21"/>
  <c r="BG14" i="21"/>
  <c r="BF14" i="21"/>
  <c r="BZ13" i="21"/>
  <c r="BY13" i="21"/>
  <c r="BX13" i="21"/>
  <c r="BW13" i="21"/>
  <c r="BV13" i="21"/>
  <c r="BU13" i="21"/>
  <c r="BT13" i="21"/>
  <c r="BS13" i="21"/>
  <c r="BR13" i="21"/>
  <c r="BL13" i="21"/>
  <c r="BK13" i="21"/>
  <c r="BJ13" i="21"/>
  <c r="BI13" i="21"/>
  <c r="BH13" i="21"/>
  <c r="BG13" i="21"/>
  <c r="BF13" i="21"/>
  <c r="BN13" i="21"/>
  <c r="BL182" i="33" s="1"/>
  <c r="BZ12" i="21"/>
  <c r="BY12" i="21"/>
  <c r="BX12" i="21"/>
  <c r="BW12" i="21"/>
  <c r="BV12" i="21"/>
  <c r="BU12" i="21"/>
  <c r="BT12" i="21"/>
  <c r="BS12" i="21"/>
  <c r="BR12" i="21"/>
  <c r="BM12" i="21"/>
  <c r="BL12" i="21"/>
  <c r="BK12" i="21"/>
  <c r="BJ12" i="21"/>
  <c r="BI12" i="21"/>
  <c r="BH12" i="21"/>
  <c r="BG12" i="21"/>
  <c r="BZ11" i="21"/>
  <c r="BY11" i="21"/>
  <c r="BX11" i="21"/>
  <c r="BW11" i="21"/>
  <c r="BV11" i="21"/>
  <c r="BU11" i="21"/>
  <c r="BT11" i="21"/>
  <c r="BS11" i="21"/>
  <c r="BR11" i="21"/>
  <c r="BM11" i="21"/>
  <c r="BL11" i="21"/>
  <c r="BK11" i="21"/>
  <c r="BJ11" i="21"/>
  <c r="BI11" i="21"/>
  <c r="BH11" i="21"/>
  <c r="BG11" i="21"/>
  <c r="BF11" i="21"/>
  <c r="BZ10" i="21"/>
  <c r="BY10" i="21"/>
  <c r="BX10" i="21"/>
  <c r="BW10" i="21"/>
  <c r="BV10" i="21"/>
  <c r="BU10" i="21"/>
  <c r="BT10" i="21"/>
  <c r="BS10" i="21"/>
  <c r="BR10" i="21"/>
  <c r="BM10" i="21"/>
  <c r="BL10" i="21"/>
  <c r="BK10" i="21"/>
  <c r="BJ10" i="21"/>
  <c r="BI10" i="21"/>
  <c r="BH10" i="21"/>
  <c r="BG10" i="21"/>
  <c r="BF10" i="21"/>
  <c r="BZ9" i="21"/>
  <c r="BY9" i="21"/>
  <c r="BX9" i="21"/>
  <c r="BW9" i="21"/>
  <c r="BV9" i="21"/>
  <c r="BU9" i="21"/>
  <c r="BT9" i="21"/>
  <c r="BS9" i="21"/>
  <c r="BR9" i="21"/>
  <c r="BM9" i="21"/>
  <c r="BL9" i="21"/>
  <c r="BK9" i="21"/>
  <c r="BJ9" i="21"/>
  <c r="BI9" i="21"/>
  <c r="BH9" i="21"/>
  <c r="BG9" i="21"/>
  <c r="BF9" i="21"/>
  <c r="BN9" i="21"/>
  <c r="BZ8" i="21"/>
  <c r="BY8" i="21"/>
  <c r="BX8" i="21"/>
  <c r="BW8" i="21"/>
  <c r="BV8" i="21"/>
  <c r="BU8" i="21"/>
  <c r="BT8" i="21"/>
  <c r="BS8" i="21"/>
  <c r="BR8" i="21"/>
  <c r="BM8" i="21"/>
  <c r="BL8" i="21"/>
  <c r="BK8" i="21"/>
  <c r="BJ8" i="21"/>
  <c r="BI8" i="21"/>
  <c r="BO8" i="21" s="1"/>
  <c r="BH8" i="21"/>
  <c r="BG8" i="21"/>
  <c r="BF8" i="21"/>
  <c r="BZ7" i="21"/>
  <c r="BY7" i="21"/>
  <c r="BX7" i="21"/>
  <c r="BW7" i="21"/>
  <c r="BV7" i="21"/>
  <c r="BU7" i="21"/>
  <c r="BT7" i="21"/>
  <c r="BS7" i="21"/>
  <c r="BR7" i="21"/>
  <c r="BM7" i="21"/>
  <c r="BL7" i="21"/>
  <c r="BK7" i="21"/>
  <c r="BJ7" i="21"/>
  <c r="BI7" i="21"/>
  <c r="BH7" i="21"/>
  <c r="BG7" i="21"/>
  <c r="BF7" i="21"/>
  <c r="BZ20" i="9"/>
  <c r="BY20" i="9"/>
  <c r="BX20" i="9"/>
  <c r="BW20" i="9"/>
  <c r="BV20" i="9"/>
  <c r="BU20" i="9"/>
  <c r="BT20" i="9"/>
  <c r="BS20" i="9"/>
  <c r="BR20" i="9"/>
  <c r="BM20" i="9"/>
  <c r="BL20" i="9"/>
  <c r="BK20" i="9"/>
  <c r="BJ20" i="9"/>
  <c r="BI20" i="9"/>
  <c r="BH20" i="9"/>
  <c r="BG20" i="9"/>
  <c r="BF20" i="9"/>
  <c r="BZ19" i="9"/>
  <c r="BY19" i="9"/>
  <c r="BX19" i="9"/>
  <c r="BW19" i="9"/>
  <c r="BV19" i="9"/>
  <c r="BU19" i="9"/>
  <c r="BT19" i="9"/>
  <c r="BS19" i="9"/>
  <c r="BR19" i="9"/>
  <c r="BM19" i="9"/>
  <c r="BL19" i="9"/>
  <c r="BK19" i="9"/>
  <c r="BJ19" i="9"/>
  <c r="BI19" i="9"/>
  <c r="BH19" i="9"/>
  <c r="BG19" i="9"/>
  <c r="BF19" i="9"/>
  <c r="BZ18" i="9"/>
  <c r="BY18" i="9"/>
  <c r="BX18" i="9"/>
  <c r="BW18" i="9"/>
  <c r="BV18" i="9"/>
  <c r="BU18" i="9"/>
  <c r="BT18" i="9"/>
  <c r="BS18" i="9"/>
  <c r="BR18" i="9"/>
  <c r="BM18" i="9"/>
  <c r="BK18" i="9"/>
  <c r="BJ18" i="9"/>
  <c r="BI18" i="9"/>
  <c r="BH18" i="9"/>
  <c r="BG18" i="9"/>
  <c r="BF18" i="9"/>
  <c r="BZ17" i="9"/>
  <c r="BY17" i="9"/>
  <c r="BX17" i="9"/>
  <c r="BW17" i="9"/>
  <c r="BV17" i="9"/>
  <c r="BU17" i="9"/>
  <c r="BT17" i="9"/>
  <c r="BS17" i="9"/>
  <c r="BR17" i="9"/>
  <c r="BM17" i="9"/>
  <c r="BL17" i="9"/>
  <c r="BK17" i="9"/>
  <c r="BJ17" i="9"/>
  <c r="BI17" i="9"/>
  <c r="BH17" i="9"/>
  <c r="BG17" i="9"/>
  <c r="BF17" i="9"/>
  <c r="BZ16" i="9"/>
  <c r="BY16" i="9"/>
  <c r="BX16" i="9"/>
  <c r="BW16" i="9"/>
  <c r="BV16" i="9"/>
  <c r="BU16" i="9"/>
  <c r="BT16" i="9"/>
  <c r="BS16" i="9"/>
  <c r="BR16" i="9"/>
  <c r="BM16" i="9"/>
  <c r="BL16" i="9"/>
  <c r="BK16" i="9"/>
  <c r="BJ16" i="9"/>
  <c r="BI16" i="9"/>
  <c r="BH16" i="9"/>
  <c r="BG16" i="9"/>
  <c r="BF16" i="9"/>
  <c r="BZ15" i="9"/>
  <c r="BY15" i="9"/>
  <c r="BX15" i="9"/>
  <c r="BW15" i="9"/>
  <c r="BV15" i="9"/>
  <c r="BU15" i="9"/>
  <c r="BT15" i="9"/>
  <c r="BS15" i="9"/>
  <c r="BR15" i="9"/>
  <c r="BM15" i="9"/>
  <c r="BL15" i="9"/>
  <c r="BK15" i="9"/>
  <c r="BJ15" i="9"/>
  <c r="BI15" i="9"/>
  <c r="BH15" i="9"/>
  <c r="BG15" i="9"/>
  <c r="BF15" i="9"/>
  <c r="BZ14" i="9"/>
  <c r="BY14" i="9"/>
  <c r="BX14" i="9"/>
  <c r="BW14" i="9"/>
  <c r="BV14" i="9"/>
  <c r="BU14" i="9"/>
  <c r="BT14" i="9"/>
  <c r="BS14" i="9"/>
  <c r="BR14" i="9"/>
  <c r="BM14" i="9"/>
  <c r="BL14" i="9"/>
  <c r="BK14" i="9"/>
  <c r="BJ14" i="9"/>
  <c r="BI14" i="9"/>
  <c r="BH14" i="9"/>
  <c r="BG14" i="9"/>
  <c r="BF14" i="9"/>
  <c r="BZ13" i="9"/>
  <c r="BY13" i="9"/>
  <c r="BX13" i="9"/>
  <c r="BW13" i="9"/>
  <c r="BV13" i="9"/>
  <c r="BU13" i="9"/>
  <c r="BT13" i="9"/>
  <c r="BS13" i="9"/>
  <c r="BR13" i="9"/>
  <c r="BM13" i="9"/>
  <c r="BK13" i="9"/>
  <c r="BJ13" i="9"/>
  <c r="BI13" i="9"/>
  <c r="BH13" i="9"/>
  <c r="BG13" i="9"/>
  <c r="BF13" i="9"/>
  <c r="BZ12" i="9"/>
  <c r="BY12" i="9"/>
  <c r="BX12" i="9"/>
  <c r="BW12" i="9"/>
  <c r="BV12" i="9"/>
  <c r="BU12" i="9"/>
  <c r="BT12" i="9"/>
  <c r="BS12" i="9"/>
  <c r="BR12" i="9"/>
  <c r="BM12" i="9"/>
  <c r="BL12" i="9"/>
  <c r="BK12" i="9"/>
  <c r="BJ12" i="9"/>
  <c r="BI12" i="9"/>
  <c r="BH12" i="9"/>
  <c r="BG12" i="9"/>
  <c r="BF12" i="9"/>
  <c r="BZ11" i="9"/>
  <c r="BY11" i="9"/>
  <c r="BX11" i="9"/>
  <c r="BW11" i="9"/>
  <c r="BV11" i="9"/>
  <c r="BU11" i="9"/>
  <c r="BT11" i="9"/>
  <c r="BS11" i="9"/>
  <c r="BR11" i="9"/>
  <c r="BM11" i="9"/>
  <c r="BL11" i="9"/>
  <c r="BK11" i="9"/>
  <c r="BJ11" i="9"/>
  <c r="BI11" i="9"/>
  <c r="BH11" i="9"/>
  <c r="BG11" i="9"/>
  <c r="BF11" i="9"/>
  <c r="BZ10" i="9"/>
  <c r="BY10" i="9"/>
  <c r="BX10" i="9"/>
  <c r="BW10" i="9"/>
  <c r="BV10" i="9"/>
  <c r="BU10" i="9"/>
  <c r="BT10" i="9"/>
  <c r="BS10" i="9"/>
  <c r="BR10" i="9"/>
  <c r="BM10" i="9"/>
  <c r="BL10" i="9"/>
  <c r="BK10" i="9"/>
  <c r="BJ10" i="9"/>
  <c r="BI10" i="9"/>
  <c r="BH10" i="9"/>
  <c r="BG10" i="9"/>
  <c r="BF10" i="9"/>
  <c r="BZ9" i="9"/>
  <c r="BY9" i="9"/>
  <c r="BX9" i="9"/>
  <c r="BW9" i="9"/>
  <c r="BV9" i="9"/>
  <c r="BU9" i="9"/>
  <c r="BT9" i="9"/>
  <c r="BS9" i="9"/>
  <c r="BR9" i="9"/>
  <c r="BM9" i="9"/>
  <c r="BL9" i="9"/>
  <c r="BK9" i="9"/>
  <c r="BJ9" i="9"/>
  <c r="BI9" i="9"/>
  <c r="BH9" i="9"/>
  <c r="BG9" i="9"/>
  <c r="BF9" i="9"/>
  <c r="BZ8" i="9"/>
  <c r="BY8" i="9"/>
  <c r="BX8" i="9"/>
  <c r="BW8" i="9"/>
  <c r="BV8" i="9"/>
  <c r="BU8" i="9"/>
  <c r="BT8" i="9"/>
  <c r="BS8" i="9"/>
  <c r="BR8" i="9"/>
  <c r="BM8" i="9"/>
  <c r="BL8" i="9"/>
  <c r="BK8" i="9"/>
  <c r="BJ8" i="9"/>
  <c r="BI8" i="9"/>
  <c r="BH8" i="9"/>
  <c r="BG8" i="9"/>
  <c r="BF8" i="9"/>
  <c r="BZ7" i="9"/>
  <c r="BY7" i="9"/>
  <c r="BX7" i="9"/>
  <c r="BW7" i="9"/>
  <c r="BV7" i="9"/>
  <c r="BU7" i="9"/>
  <c r="BT7" i="9"/>
  <c r="BS7" i="9"/>
  <c r="BR7" i="9"/>
  <c r="BM7" i="9"/>
  <c r="BL7" i="9"/>
  <c r="BK7" i="9"/>
  <c r="BJ7" i="9"/>
  <c r="BI7" i="9"/>
  <c r="BH7" i="9"/>
  <c r="BG7" i="9"/>
  <c r="BF7" i="9"/>
  <c r="BZ20" i="10"/>
  <c r="BY20" i="10"/>
  <c r="BX20" i="10"/>
  <c r="BW20" i="10"/>
  <c r="BV20" i="10"/>
  <c r="BU20" i="10"/>
  <c r="BT20" i="10"/>
  <c r="BS20" i="10"/>
  <c r="CA20" i="10"/>
  <c r="CB20" i="10" s="1"/>
  <c r="BR20" i="10"/>
  <c r="BM20" i="10"/>
  <c r="BL20" i="10"/>
  <c r="BK20" i="10"/>
  <c r="BJ20" i="10"/>
  <c r="BI20" i="10"/>
  <c r="BH20" i="10"/>
  <c r="BG20" i="10"/>
  <c r="BF20" i="10"/>
  <c r="BN20" i="10" s="1"/>
  <c r="BZ19" i="10"/>
  <c r="BY19" i="10"/>
  <c r="BX19" i="10"/>
  <c r="BW19" i="10"/>
  <c r="BV19" i="10"/>
  <c r="BU19" i="10"/>
  <c r="BT19" i="10"/>
  <c r="BS19" i="10"/>
  <c r="BR19" i="10"/>
  <c r="BM19" i="10"/>
  <c r="BL19" i="10"/>
  <c r="BK19" i="10"/>
  <c r="BJ19" i="10"/>
  <c r="BI19" i="10"/>
  <c r="BH19" i="10"/>
  <c r="BG19" i="10"/>
  <c r="BF19" i="10"/>
  <c r="BN19" i="10" s="1"/>
  <c r="BY18" i="10"/>
  <c r="BX18" i="10"/>
  <c r="BW18" i="10"/>
  <c r="BV18" i="10"/>
  <c r="BU18" i="10"/>
  <c r="BT18" i="10"/>
  <c r="BS18" i="10"/>
  <c r="BR18" i="10"/>
  <c r="BM18" i="10"/>
  <c r="BL18" i="10"/>
  <c r="BK18" i="10"/>
  <c r="BJ18" i="10"/>
  <c r="BI18" i="10"/>
  <c r="BH18" i="10"/>
  <c r="BG18" i="10"/>
  <c r="BF18" i="10"/>
  <c r="BY17" i="10"/>
  <c r="BX17" i="10"/>
  <c r="BW17" i="10"/>
  <c r="BV17" i="10"/>
  <c r="BU17" i="10"/>
  <c r="BT17" i="10"/>
  <c r="BS17" i="10"/>
  <c r="BR17" i="10"/>
  <c r="BM17" i="10"/>
  <c r="BL17" i="10"/>
  <c r="BK17" i="10"/>
  <c r="BJ17" i="10"/>
  <c r="BI17" i="10"/>
  <c r="BH17" i="10"/>
  <c r="BG17" i="10"/>
  <c r="BF17" i="10"/>
  <c r="BN17" i="10"/>
  <c r="BL46" i="33" s="1"/>
  <c r="BY16" i="10"/>
  <c r="BX16" i="10"/>
  <c r="BW16" i="10"/>
  <c r="BV16" i="10"/>
  <c r="BU16" i="10"/>
  <c r="BT16" i="10"/>
  <c r="BS16" i="10"/>
  <c r="BR16" i="10"/>
  <c r="CA16" i="10" s="1"/>
  <c r="BM16" i="10"/>
  <c r="BK16" i="10"/>
  <c r="BJ16" i="10"/>
  <c r="BI16" i="10"/>
  <c r="BH16" i="10"/>
  <c r="BG16" i="10"/>
  <c r="BN16" i="10" s="1"/>
  <c r="BL45" i="33" s="1"/>
  <c r="BF16" i="10"/>
  <c r="BY15" i="10"/>
  <c r="BX15" i="10"/>
  <c r="BW15" i="10"/>
  <c r="BV15" i="10"/>
  <c r="BU15" i="10"/>
  <c r="BT15" i="10"/>
  <c r="BS15" i="10"/>
  <c r="BR15" i="10"/>
  <c r="BM15" i="10"/>
  <c r="BL15" i="10"/>
  <c r="BK15" i="10"/>
  <c r="BJ15" i="10"/>
  <c r="BI15" i="10"/>
  <c r="BH15" i="10"/>
  <c r="BG15" i="10"/>
  <c r="BF15" i="10"/>
  <c r="BY14" i="10"/>
  <c r="BW14" i="10"/>
  <c r="BV14" i="10"/>
  <c r="BU14" i="10"/>
  <c r="BT14" i="10"/>
  <c r="BS14" i="10"/>
  <c r="BR14" i="10"/>
  <c r="BM14" i="10"/>
  <c r="BL14" i="10"/>
  <c r="BK14" i="10"/>
  <c r="BJ14" i="10"/>
  <c r="BI14" i="10"/>
  <c r="BH14" i="10"/>
  <c r="BG14" i="10"/>
  <c r="BF14" i="10"/>
  <c r="BY13" i="10"/>
  <c r="BW13" i="10"/>
  <c r="BV13" i="10"/>
  <c r="BU13" i="10"/>
  <c r="BT13" i="10"/>
  <c r="BS13" i="10"/>
  <c r="BR13" i="10"/>
  <c r="BM13" i="10"/>
  <c r="BL13" i="10"/>
  <c r="BJ13" i="10"/>
  <c r="BI13" i="10"/>
  <c r="BH13" i="10"/>
  <c r="BG13" i="10"/>
  <c r="BN13" i="10" s="1"/>
  <c r="BL42" i="33" s="1"/>
  <c r="BF13" i="10"/>
  <c r="BY12" i="10"/>
  <c r="BX12" i="10"/>
  <c r="BW12" i="10"/>
  <c r="BV12" i="10"/>
  <c r="BU12" i="10"/>
  <c r="BT12" i="10"/>
  <c r="BS12" i="10"/>
  <c r="BR12" i="10"/>
  <c r="CA12" i="10" s="1"/>
  <c r="BM12" i="10"/>
  <c r="BL12" i="10"/>
  <c r="BK12" i="10"/>
  <c r="BJ12" i="10"/>
  <c r="BO12" i="10" s="1"/>
  <c r="BM41" i="33" s="1"/>
  <c r="BI12" i="10"/>
  <c r="BH12" i="10"/>
  <c r="BG12" i="10"/>
  <c r="BN12" i="10" s="1"/>
  <c r="BL41" i="33" s="1"/>
  <c r="BF12" i="10"/>
  <c r="BZ11" i="10"/>
  <c r="BY11" i="10"/>
  <c r="BX11" i="10"/>
  <c r="BW11" i="10"/>
  <c r="BV11" i="10"/>
  <c r="BU11" i="10"/>
  <c r="BT11" i="10"/>
  <c r="BS11" i="10"/>
  <c r="CB11" i="10"/>
  <c r="BR11" i="10"/>
  <c r="CA11" i="10" s="1"/>
  <c r="BM11" i="10"/>
  <c r="BL11" i="10"/>
  <c r="BK11" i="10"/>
  <c r="BJ11" i="10"/>
  <c r="BI11" i="10"/>
  <c r="BO11" i="10" s="1"/>
  <c r="BH11" i="10"/>
  <c r="BG11" i="10"/>
  <c r="BF11" i="10"/>
  <c r="BN11" i="10" s="1"/>
  <c r="BZ10" i="10"/>
  <c r="BY10" i="10"/>
  <c r="BX10" i="10"/>
  <c r="BW10" i="10"/>
  <c r="BV10" i="10"/>
  <c r="BU10" i="10"/>
  <c r="BT10" i="10"/>
  <c r="BS10" i="10"/>
  <c r="BR10" i="10"/>
  <c r="CA10" i="10" s="1"/>
  <c r="CB10" i="10" s="1"/>
  <c r="BM10" i="10"/>
  <c r="BL10" i="10"/>
  <c r="BK10" i="10"/>
  <c r="BJ10" i="10"/>
  <c r="BI10" i="10"/>
  <c r="BO10" i="10"/>
  <c r="BH10" i="10"/>
  <c r="BG10" i="10"/>
  <c r="BF10" i="10"/>
  <c r="BN10" i="10"/>
  <c r="BP10" i="10" s="1"/>
  <c r="BZ9" i="10"/>
  <c r="BY9" i="10"/>
  <c r="BX9" i="10"/>
  <c r="BW9" i="10"/>
  <c r="BV9" i="10"/>
  <c r="BU9" i="10"/>
  <c r="BT9" i="10"/>
  <c r="BS9" i="10"/>
  <c r="BR9" i="10"/>
  <c r="BM9" i="10"/>
  <c r="BL9" i="10"/>
  <c r="BK9" i="10"/>
  <c r="BJ9" i="10"/>
  <c r="BI9" i="10"/>
  <c r="BO9" i="10"/>
  <c r="BH9" i="10"/>
  <c r="BG9" i="10"/>
  <c r="BF9" i="10"/>
  <c r="BN9" i="10"/>
  <c r="BZ8" i="10"/>
  <c r="BY8" i="10"/>
  <c r="BX8" i="10"/>
  <c r="BW8" i="10"/>
  <c r="BV8" i="10"/>
  <c r="BU8" i="10"/>
  <c r="BT8" i="10"/>
  <c r="BS8" i="10"/>
  <c r="BR8" i="10"/>
  <c r="BM8" i="10"/>
  <c r="BL8" i="10"/>
  <c r="BK8" i="10"/>
  <c r="BJ8" i="10"/>
  <c r="BI8" i="10"/>
  <c r="BO8" i="10" s="1"/>
  <c r="BH8" i="10"/>
  <c r="BG8" i="10"/>
  <c r="BF8" i="10"/>
  <c r="BN8" i="10" s="1"/>
  <c r="BP8" i="10" s="1"/>
  <c r="BZ7" i="10"/>
  <c r="BY7" i="10"/>
  <c r="BX7" i="10"/>
  <c r="BW7" i="10"/>
  <c r="BV7" i="10"/>
  <c r="BU7" i="10"/>
  <c r="BT7" i="10"/>
  <c r="BS7" i="10"/>
  <c r="BR7" i="10"/>
  <c r="CA7" i="10"/>
  <c r="CB7" i="10" s="1"/>
  <c r="BM7" i="10"/>
  <c r="BL7" i="10"/>
  <c r="BK7" i="10"/>
  <c r="BJ7" i="10"/>
  <c r="BI7" i="10"/>
  <c r="BO7" i="10" s="1"/>
  <c r="BH7" i="10"/>
  <c r="BG7" i="10"/>
  <c r="BF7" i="10"/>
  <c r="BN7" i="10" s="1"/>
  <c r="BP7" i="10"/>
  <c r="CB18" i="5"/>
  <c r="CC18" i="5" s="1"/>
  <c r="BY40" i="33"/>
  <c r="BZ40" i="33" s="1"/>
  <c r="BW12" i="5"/>
  <c r="BV12" i="5"/>
  <c r="BP12" i="5"/>
  <c r="BM34" i="33" s="1"/>
  <c r="BO12" i="5"/>
  <c r="BL34" i="33" s="1"/>
  <c r="BN34" i="33" s="1"/>
  <c r="CB10" i="5"/>
  <c r="CC10" i="5" s="1"/>
  <c r="CB9" i="5"/>
  <c r="CC9" i="5" s="1"/>
  <c r="BP8" i="5"/>
  <c r="BP7" i="5"/>
  <c r="BC7" i="31"/>
  <c r="BF8" i="31"/>
  <c r="BN8" i="31" s="1"/>
  <c r="BG8" i="31"/>
  <c r="BH8" i="31"/>
  <c r="BI8" i="31"/>
  <c r="BO8" i="31" s="1"/>
  <c r="BJ8" i="31"/>
  <c r="BK8" i="31"/>
  <c r="BL8" i="31"/>
  <c r="BM8" i="31"/>
  <c r="BR8" i="31"/>
  <c r="CA8" i="31" s="1"/>
  <c r="CB8" i="31" s="1"/>
  <c r="BS8" i="31"/>
  <c r="BT8" i="31"/>
  <c r="BU8" i="31"/>
  <c r="BV8" i="31"/>
  <c r="BW8" i="31"/>
  <c r="BX8" i="31"/>
  <c r="BY8" i="31"/>
  <c r="BZ8" i="31"/>
  <c r="BF9" i="31"/>
  <c r="BG9" i="31"/>
  <c r="BH9" i="31"/>
  <c r="BN9" i="31" s="1"/>
  <c r="BI9" i="31"/>
  <c r="BJ9" i="31"/>
  <c r="BK9" i="31"/>
  <c r="BL9" i="31"/>
  <c r="BM9" i="31"/>
  <c r="BR9" i="31"/>
  <c r="BS9" i="31"/>
  <c r="BT9" i="31"/>
  <c r="BU9" i="31"/>
  <c r="BV9" i="31"/>
  <c r="BW9" i="31"/>
  <c r="BX9" i="31"/>
  <c r="BY9" i="31"/>
  <c r="BZ9" i="31"/>
  <c r="BF10" i="31"/>
  <c r="BG10" i="31"/>
  <c r="BH10" i="31"/>
  <c r="BI10" i="31"/>
  <c r="BJ10" i="31"/>
  <c r="BK10" i="31"/>
  <c r="BL10" i="31"/>
  <c r="BM10" i="31"/>
  <c r="BR10" i="31"/>
  <c r="BS10" i="31"/>
  <c r="BT10" i="31"/>
  <c r="BU10" i="31"/>
  <c r="BV10" i="31"/>
  <c r="BW10" i="31"/>
  <c r="BX10" i="31"/>
  <c r="BY10" i="31"/>
  <c r="BZ10" i="31"/>
  <c r="BF11" i="31"/>
  <c r="BG11" i="31"/>
  <c r="BH11" i="31"/>
  <c r="BI11" i="31"/>
  <c r="BJ11" i="31"/>
  <c r="BK11" i="31"/>
  <c r="BL11" i="31"/>
  <c r="BM11" i="31"/>
  <c r="BR11" i="31"/>
  <c r="BS11" i="31"/>
  <c r="BT11" i="31"/>
  <c r="BU11" i="31"/>
  <c r="BV11" i="31"/>
  <c r="BW11" i="31"/>
  <c r="BX11" i="31"/>
  <c r="BY11" i="31"/>
  <c r="BZ11" i="31"/>
  <c r="BF12" i="31"/>
  <c r="BG12" i="31"/>
  <c r="BH12" i="31"/>
  <c r="BN12" i="31" s="1"/>
  <c r="BL27" i="33" s="1"/>
  <c r="BI12" i="31"/>
  <c r="BJ12" i="31"/>
  <c r="BK12" i="31"/>
  <c r="BL12" i="31"/>
  <c r="BM12" i="31"/>
  <c r="BR12" i="31"/>
  <c r="BS12" i="31"/>
  <c r="BT12" i="31"/>
  <c r="BU12" i="31"/>
  <c r="BV12" i="31"/>
  <c r="BW12" i="31"/>
  <c r="BY12" i="31"/>
  <c r="BZ12" i="31"/>
  <c r="BF13" i="31"/>
  <c r="BG13" i="31"/>
  <c r="BH13" i="31"/>
  <c r="BI13" i="31"/>
  <c r="BJ13" i="31"/>
  <c r="BK13" i="31"/>
  <c r="BL13" i="31"/>
  <c r="BM13" i="31"/>
  <c r="BR13" i="31"/>
  <c r="BS13" i="31"/>
  <c r="BT13" i="31"/>
  <c r="BU13" i="31"/>
  <c r="BV13" i="31"/>
  <c r="BW13" i="31"/>
  <c r="BY13" i="31"/>
  <c r="BZ13" i="31"/>
  <c r="BF14" i="31"/>
  <c r="BG14" i="31"/>
  <c r="BH14" i="31"/>
  <c r="BI14" i="31"/>
  <c r="BJ14" i="31"/>
  <c r="BK14" i="31"/>
  <c r="BL14" i="31"/>
  <c r="BM14" i="31"/>
  <c r="BR14" i="31"/>
  <c r="BS14" i="31"/>
  <c r="BT14" i="31"/>
  <c r="BU14" i="31"/>
  <c r="BV14" i="31"/>
  <c r="BY14" i="31"/>
  <c r="BZ14" i="31"/>
  <c r="BF15" i="31"/>
  <c r="BN15" i="31" s="1"/>
  <c r="BL30" i="33" s="1"/>
  <c r="BG15" i="31"/>
  <c r="BH15" i="31"/>
  <c r="BI15" i="31"/>
  <c r="BJ15" i="31"/>
  <c r="BK15" i="31"/>
  <c r="BL15" i="31"/>
  <c r="BM15" i="31"/>
  <c r="BR15" i="31"/>
  <c r="BS15" i="31"/>
  <c r="BT15" i="31"/>
  <c r="BU15" i="31"/>
  <c r="BV15" i="31"/>
  <c r="BW15" i="31"/>
  <c r="BY15" i="31"/>
  <c r="BZ15" i="31"/>
  <c r="BF16" i="31"/>
  <c r="BN16" i="31"/>
  <c r="BL31" i="33" s="1"/>
  <c r="BG16" i="31"/>
  <c r="BH16" i="31"/>
  <c r="BI16" i="31"/>
  <c r="BJ16" i="31"/>
  <c r="BK16" i="31"/>
  <c r="BL16" i="31"/>
  <c r="BM16" i="31"/>
  <c r="BR16" i="31"/>
  <c r="BS16" i="31"/>
  <c r="BT16" i="31"/>
  <c r="BU16" i="31"/>
  <c r="BV16" i="31"/>
  <c r="BW16" i="31"/>
  <c r="BY16" i="31"/>
  <c r="BZ16" i="31"/>
  <c r="BF17" i="31"/>
  <c r="BN17" i="31" s="1"/>
  <c r="BL32" i="33" s="1"/>
  <c r="BG17" i="31"/>
  <c r="BH17" i="31"/>
  <c r="BI17" i="31"/>
  <c r="BJ17" i="31"/>
  <c r="BK17" i="31"/>
  <c r="BL17" i="31"/>
  <c r="BM17" i="31"/>
  <c r="BR17" i="31"/>
  <c r="BS17" i="31"/>
  <c r="BT17" i="31"/>
  <c r="BU17" i="31"/>
  <c r="BV17" i="31"/>
  <c r="BW17" i="31"/>
  <c r="BY17" i="31"/>
  <c r="BZ17" i="31"/>
  <c r="BF18" i="31"/>
  <c r="BG18" i="31"/>
  <c r="BH18" i="31"/>
  <c r="BI18" i="31"/>
  <c r="BJ18" i="31"/>
  <c r="BK18" i="31"/>
  <c r="BL18" i="31"/>
  <c r="BM18" i="31"/>
  <c r="BR18" i="31"/>
  <c r="BS18" i="31"/>
  <c r="BT18" i="31"/>
  <c r="BU18" i="31"/>
  <c r="BV18" i="31"/>
  <c r="BW18" i="31"/>
  <c r="BY18" i="31"/>
  <c r="BZ18" i="31"/>
  <c r="BF19" i="31"/>
  <c r="BG19" i="31"/>
  <c r="BH19" i="31"/>
  <c r="BI19" i="31"/>
  <c r="BJ19" i="31"/>
  <c r="BK19" i="31"/>
  <c r="BL19" i="31"/>
  <c r="BM19" i="31"/>
  <c r="BR19" i="31"/>
  <c r="BS19" i="31"/>
  <c r="BT19" i="31"/>
  <c r="BU19" i="31"/>
  <c r="BV19" i="31"/>
  <c r="BW19" i="31"/>
  <c r="BX19" i="31"/>
  <c r="BY19" i="31"/>
  <c r="BZ19" i="31"/>
  <c r="BF20" i="31"/>
  <c r="BN20" i="31" s="1"/>
  <c r="BG20" i="31"/>
  <c r="BH20" i="31"/>
  <c r="BI20" i="31"/>
  <c r="BJ20" i="31"/>
  <c r="BK20" i="31"/>
  <c r="BL20" i="31"/>
  <c r="BM20" i="31"/>
  <c r="BR20" i="31"/>
  <c r="BS20" i="31"/>
  <c r="BT20" i="31"/>
  <c r="BU20" i="31"/>
  <c r="BV20" i="31"/>
  <c r="BW20" i="31"/>
  <c r="BX20" i="31"/>
  <c r="BY20" i="31"/>
  <c r="BZ20" i="31"/>
  <c r="BZ7" i="31"/>
  <c r="BY7" i="31"/>
  <c r="BX7" i="31"/>
  <c r="BW7" i="31"/>
  <c r="BV7" i="31"/>
  <c r="BU7" i="31"/>
  <c r="BT7" i="31"/>
  <c r="BS7" i="31"/>
  <c r="BR7" i="31"/>
  <c r="CA7" i="31" s="1"/>
  <c r="CB7" i="31" s="1"/>
  <c r="BM7" i="31"/>
  <c r="BL7" i="31"/>
  <c r="BK7" i="31"/>
  <c r="BJ7" i="31"/>
  <c r="BI7" i="31"/>
  <c r="BH7" i="31"/>
  <c r="BG7" i="31"/>
  <c r="BF7" i="31"/>
  <c r="BC21" i="5"/>
  <c r="AZ3" i="33"/>
  <c r="BC22" i="5"/>
  <c r="AZ4" i="34"/>
  <c r="AN3" i="34"/>
  <c r="R5" i="33"/>
  <c r="AT7" i="33"/>
  <c r="BB22" i="5"/>
  <c r="AZ3" i="34"/>
  <c r="BA22" i="5"/>
  <c r="AY3" i="34"/>
  <c r="AY22" i="5"/>
  <c r="AW3" i="34"/>
  <c r="AX22" i="5"/>
  <c r="AV3" i="34"/>
  <c r="AW22" i="5"/>
  <c r="AU3" i="34"/>
  <c r="AV22" i="5"/>
  <c r="AT3" i="34"/>
  <c r="AU22" i="5"/>
  <c r="AS3" i="34"/>
  <c r="AT22" i="5"/>
  <c r="AR3" i="34"/>
  <c r="AS22" i="5"/>
  <c r="AQ3" i="34"/>
  <c r="AP22" i="5"/>
  <c r="AO22" i="5"/>
  <c r="AM3" i="34" s="1"/>
  <c r="AM22" i="5"/>
  <c r="AK3" i="34" s="1"/>
  <c r="AK22" i="5"/>
  <c r="AI3" i="34" s="1"/>
  <c r="AH22" i="5"/>
  <c r="AF3" i="34" s="1"/>
  <c r="AG22" i="5"/>
  <c r="AE3" i="34" s="1"/>
  <c r="AF22" i="5"/>
  <c r="AD3" i="34" s="1"/>
  <c r="AD22" i="5"/>
  <c r="AB3" i="34" s="1"/>
  <c r="AC22" i="5"/>
  <c r="AA3" i="34" s="1"/>
  <c r="AB22" i="5"/>
  <c r="Z3" i="34" s="1"/>
  <c r="AA22" i="5"/>
  <c r="Y3" i="34" s="1"/>
  <c r="Z22" i="5"/>
  <c r="X3" i="34"/>
  <c r="Y22" i="5"/>
  <c r="W3" i="34"/>
  <c r="V22" i="5"/>
  <c r="T3" i="34"/>
  <c r="U22" i="5"/>
  <c r="S3" i="34"/>
  <c r="T22" i="5"/>
  <c r="R3" i="34"/>
  <c r="S22" i="5"/>
  <c r="Q3" i="34"/>
  <c r="Q22" i="5"/>
  <c r="O3" i="34"/>
  <c r="P22" i="5"/>
  <c r="N3" i="34"/>
  <c r="O22" i="5"/>
  <c r="M3" i="34"/>
  <c r="N22" i="5"/>
  <c r="L3" i="34"/>
  <c r="M22" i="5"/>
  <c r="K3" i="34"/>
  <c r="K22" i="5"/>
  <c r="I3" i="34"/>
  <c r="J22" i="5"/>
  <c r="H3" i="34"/>
  <c r="I22" i="5"/>
  <c r="G3" i="34"/>
  <c r="H22" i="5"/>
  <c r="F3" i="34"/>
  <c r="G22" i="5"/>
  <c r="E3" i="34"/>
  <c r="F22" i="5"/>
  <c r="D3" i="34"/>
  <c r="E22" i="5"/>
  <c r="C3" i="34"/>
  <c r="BB21" i="5"/>
  <c r="L3" i="35" s="1"/>
  <c r="AY3" i="33"/>
  <c r="BT3" i="33" s="1"/>
  <c r="BA21" i="5"/>
  <c r="K3" i="35" s="1"/>
  <c r="AY21" i="5"/>
  <c r="AV3" i="33"/>
  <c r="AX21" i="5"/>
  <c r="AU3" i="33"/>
  <c r="AW21" i="5"/>
  <c r="AT3" i="33"/>
  <c r="AV21" i="5"/>
  <c r="AS3" i="33"/>
  <c r="AU21" i="5"/>
  <c r="AR3" i="33"/>
  <c r="AT21" i="5"/>
  <c r="AQ3" i="33"/>
  <c r="AQ21" i="5"/>
  <c r="AP21" i="5"/>
  <c r="AN3" i="33" s="1"/>
  <c r="AM21" i="5"/>
  <c r="AK3" i="33" s="1"/>
  <c r="AI21" i="5"/>
  <c r="AG3" i="33" s="1"/>
  <c r="AH21" i="5"/>
  <c r="AF3" i="33" s="1"/>
  <c r="AF21" i="5"/>
  <c r="AD3" i="33" s="1"/>
  <c r="AE21" i="5"/>
  <c r="AC3" i="33" s="1"/>
  <c r="AD21" i="5"/>
  <c r="AB3" i="33" s="1"/>
  <c r="AC21" i="5"/>
  <c r="AA3" i="33" s="1"/>
  <c r="AB21" i="5"/>
  <c r="Z3" i="33" s="1"/>
  <c r="AA21" i="5"/>
  <c r="Y3" i="33" s="1"/>
  <c r="Z21" i="5"/>
  <c r="X3" i="33" s="1"/>
  <c r="W21" i="5"/>
  <c r="U3" i="33" s="1"/>
  <c r="BW3" i="33" s="1"/>
  <c r="V21" i="5"/>
  <c r="T3" i="33"/>
  <c r="T21" i="5"/>
  <c r="R3" i="33"/>
  <c r="S21" i="5"/>
  <c r="Q3" i="33"/>
  <c r="BX3" i="33" s="1"/>
  <c r="Q21" i="5"/>
  <c r="O3" i="33" s="1"/>
  <c r="BV3" i="33"/>
  <c r="P21" i="5"/>
  <c r="N3" i="33"/>
  <c r="O21" i="5"/>
  <c r="M3" i="33"/>
  <c r="N21" i="5"/>
  <c r="L3" i="33"/>
  <c r="BU3" i="33" s="1"/>
  <c r="M21" i="5"/>
  <c r="K3" i="33" s="1"/>
  <c r="K21" i="5"/>
  <c r="I3" i="35" s="1"/>
  <c r="J21" i="5"/>
  <c r="I21" i="5"/>
  <c r="G3" i="35" s="1"/>
  <c r="H21" i="5"/>
  <c r="G21" i="5"/>
  <c r="E3" i="35" s="1"/>
  <c r="F21" i="5"/>
  <c r="BB22" i="10"/>
  <c r="BA22" i="10"/>
  <c r="AY4" i="34"/>
  <c r="AZ22" i="10"/>
  <c r="AX4" i="34"/>
  <c r="AY22" i="10"/>
  <c r="AW4" i="34"/>
  <c r="AX22" i="10"/>
  <c r="AV4" i="34"/>
  <c r="AW22" i="10"/>
  <c r="AU4" i="34"/>
  <c r="AV22" i="10"/>
  <c r="AT4" i="34"/>
  <c r="AU22" i="10"/>
  <c r="AS4" i="34"/>
  <c r="AT22" i="10"/>
  <c r="AR4" i="34"/>
  <c r="AS22" i="10"/>
  <c r="AQ4" i="34"/>
  <c r="AR22" i="10"/>
  <c r="AP4" i="34"/>
  <c r="AQ22" i="10"/>
  <c r="AO4" i="34"/>
  <c r="AP22" i="10"/>
  <c r="AN4" i="34"/>
  <c r="AL22" i="10"/>
  <c r="AJ4" i="34"/>
  <c r="AK22" i="10"/>
  <c r="AI4" i="34"/>
  <c r="AJ22" i="10"/>
  <c r="AH4" i="34"/>
  <c r="AI22" i="10"/>
  <c r="AG4" i="34"/>
  <c r="AH22" i="10"/>
  <c r="AF4" i="34"/>
  <c r="AG22" i="10"/>
  <c r="AE4" i="34"/>
  <c r="AF22" i="10"/>
  <c r="AD4" i="34"/>
  <c r="AE22" i="10"/>
  <c r="AC4" i="34"/>
  <c r="AD22" i="10"/>
  <c r="AB4" i="34"/>
  <c r="AC22" i="10"/>
  <c r="AA4" i="34"/>
  <c r="AB22" i="10"/>
  <c r="Z4" i="34"/>
  <c r="AA22" i="10"/>
  <c r="Y4" i="34"/>
  <c r="Z22" i="10"/>
  <c r="X4" i="34"/>
  <c r="W22" i="10"/>
  <c r="U4" i="34"/>
  <c r="V22" i="10"/>
  <c r="T4" i="34"/>
  <c r="T22" i="10"/>
  <c r="R4" i="34"/>
  <c r="S22" i="10"/>
  <c r="Q4" i="34" s="1"/>
  <c r="R22" i="10"/>
  <c r="P4" i="34" s="1"/>
  <c r="P22" i="10"/>
  <c r="N4" i="34" s="1"/>
  <c r="O22" i="10"/>
  <c r="M4" i="34" s="1"/>
  <c r="N22" i="10"/>
  <c r="L4" i="34" s="1"/>
  <c r="L22" i="10"/>
  <c r="J4" i="34" s="1"/>
  <c r="J22" i="10"/>
  <c r="H4" i="34" s="1"/>
  <c r="I22" i="10"/>
  <c r="G4" i="34" s="1"/>
  <c r="H22" i="10"/>
  <c r="F4" i="34" s="1"/>
  <c r="G22" i="10"/>
  <c r="E4" i="34" s="1"/>
  <c r="F22" i="10"/>
  <c r="D4" i="34" s="1"/>
  <c r="E22" i="10"/>
  <c r="C4" i="34" s="1"/>
  <c r="BB21" i="10"/>
  <c r="AZ4" i="33" s="1"/>
  <c r="BA21" i="10"/>
  <c r="AZ21" i="10"/>
  <c r="K4" i="35" s="1"/>
  <c r="AY21" i="10"/>
  <c r="AW4" i="33" s="1"/>
  <c r="AX21" i="10"/>
  <c r="AV4" i="33" s="1"/>
  <c r="AW21" i="10"/>
  <c r="AU4" i="33" s="1"/>
  <c r="AV21" i="10"/>
  <c r="AT4" i="33" s="1"/>
  <c r="AU21" i="10"/>
  <c r="AS4" i="33" s="1"/>
  <c r="AT21" i="10"/>
  <c r="AR4" i="33" s="1"/>
  <c r="AS21" i="10"/>
  <c r="AQ4" i="33" s="1"/>
  <c r="AR21" i="10"/>
  <c r="AP4" i="33" s="1"/>
  <c r="AQ21" i="10"/>
  <c r="AO4" i="33" s="1"/>
  <c r="AP21" i="10"/>
  <c r="AN4" i="33" s="1"/>
  <c r="AL21" i="10"/>
  <c r="AJ4" i="33" s="1"/>
  <c r="AK21" i="10"/>
  <c r="AI4" i="33" s="1"/>
  <c r="AJ21" i="10"/>
  <c r="AH4" i="33" s="1"/>
  <c r="AI21" i="10"/>
  <c r="AG4" i="33" s="1"/>
  <c r="AH21" i="10"/>
  <c r="AF4" i="33" s="1"/>
  <c r="AG21" i="10"/>
  <c r="AE4" i="33" s="1"/>
  <c r="AF21" i="10"/>
  <c r="AD4" i="33" s="1"/>
  <c r="AE21" i="10"/>
  <c r="AC4" i="33" s="1"/>
  <c r="AD21" i="10"/>
  <c r="AB4" i="33" s="1"/>
  <c r="AC21" i="10"/>
  <c r="AA4" i="33" s="1"/>
  <c r="AB21" i="10"/>
  <c r="Z4" i="33" s="1"/>
  <c r="AA21" i="10"/>
  <c r="Y4" i="33" s="1"/>
  <c r="Z21" i="10"/>
  <c r="X4" i="33"/>
  <c r="W21" i="10"/>
  <c r="U4" i="33"/>
  <c r="BW4" i="33" s="1"/>
  <c r="V21" i="10"/>
  <c r="T4" i="33"/>
  <c r="T21" i="10"/>
  <c r="R4" i="33"/>
  <c r="S21" i="10"/>
  <c r="Q4" i="33"/>
  <c r="R21" i="10"/>
  <c r="P4" i="33"/>
  <c r="P21" i="10"/>
  <c r="N4" i="33"/>
  <c r="O21" i="10"/>
  <c r="M4" i="33"/>
  <c r="N21" i="10"/>
  <c r="L4" i="33"/>
  <c r="BU4" i="33" s="1"/>
  <c r="L21" i="10"/>
  <c r="J4" i="35" s="1"/>
  <c r="J4" i="33"/>
  <c r="BK4" i="33" s="1"/>
  <c r="J21" i="10"/>
  <c r="H4" i="35" s="1"/>
  <c r="H4" i="33"/>
  <c r="BI4" i="33" s="1"/>
  <c r="I21" i="10"/>
  <c r="G4" i="35" s="1"/>
  <c r="G4" i="33"/>
  <c r="BH4" i="33" s="1"/>
  <c r="H21" i="10"/>
  <c r="F4" i="35" s="1"/>
  <c r="F4" i="33"/>
  <c r="G21" i="10"/>
  <c r="E4" i="35" s="1"/>
  <c r="E4" i="33"/>
  <c r="F21" i="10"/>
  <c r="D4" i="35" s="1"/>
  <c r="D4" i="33"/>
  <c r="E21" i="10"/>
  <c r="C4" i="35" s="1"/>
  <c r="C4" i="33"/>
  <c r="BD4" i="33" s="1"/>
  <c r="BB22" i="12"/>
  <c r="AZ5" i="34"/>
  <c r="BA22" i="12"/>
  <c r="AY5" i="34"/>
  <c r="AZ22" i="12"/>
  <c r="AX5" i="34"/>
  <c r="AY22" i="12"/>
  <c r="AW5" i="34"/>
  <c r="AX22" i="12"/>
  <c r="AV5" i="34"/>
  <c r="AW22" i="12"/>
  <c r="AU5" i="34"/>
  <c r="AV22" i="12"/>
  <c r="AT5" i="34"/>
  <c r="AU22" i="12"/>
  <c r="AS5" i="34"/>
  <c r="AT22" i="12"/>
  <c r="AR5" i="34"/>
  <c r="AS22" i="12"/>
  <c r="AQ5" i="34"/>
  <c r="AR22" i="12"/>
  <c r="AP5" i="34"/>
  <c r="AQ22" i="12"/>
  <c r="AO5" i="34"/>
  <c r="AP22" i="12"/>
  <c r="AN5" i="34"/>
  <c r="AM22" i="12"/>
  <c r="AK5" i="34"/>
  <c r="AL22" i="12"/>
  <c r="AJ5" i="34"/>
  <c r="AK22" i="12"/>
  <c r="AI5" i="34"/>
  <c r="AJ22" i="12"/>
  <c r="AH5" i="34"/>
  <c r="AI22" i="12"/>
  <c r="AG5" i="34"/>
  <c r="AH22" i="12"/>
  <c r="AF5" i="34"/>
  <c r="AF22" i="12"/>
  <c r="AD5" i="34" s="1"/>
  <c r="AE22" i="12"/>
  <c r="AC5" i="34" s="1"/>
  <c r="AD22" i="12"/>
  <c r="AB5" i="34" s="1"/>
  <c r="AC22" i="12"/>
  <c r="AA5" i="34" s="1"/>
  <c r="AB22" i="12"/>
  <c r="Z5" i="34" s="1"/>
  <c r="AA22" i="12"/>
  <c r="Y5" i="34" s="1"/>
  <c r="Z22" i="12"/>
  <c r="X5" i="34" s="1"/>
  <c r="Y22" i="12"/>
  <c r="W5" i="34" s="1"/>
  <c r="W22" i="12"/>
  <c r="U5" i="34" s="1"/>
  <c r="V22" i="12"/>
  <c r="T5" i="34" s="1"/>
  <c r="T22" i="12"/>
  <c r="R5" i="34" s="1"/>
  <c r="S22" i="12"/>
  <c r="Q5" i="34" s="1"/>
  <c r="R22" i="12"/>
  <c r="P5" i="34" s="1"/>
  <c r="P22" i="12"/>
  <c r="N5" i="34" s="1"/>
  <c r="O22" i="12"/>
  <c r="M5" i="34" s="1"/>
  <c r="N22" i="12"/>
  <c r="L5" i="34" s="1"/>
  <c r="M22" i="12"/>
  <c r="K5" i="34" s="1"/>
  <c r="L22" i="12"/>
  <c r="J5" i="34" s="1"/>
  <c r="K22" i="12"/>
  <c r="I5" i="34" s="1"/>
  <c r="J22" i="12"/>
  <c r="H5" i="34" s="1"/>
  <c r="I22" i="12"/>
  <c r="G5" i="34" s="1"/>
  <c r="H22" i="12"/>
  <c r="F5" i="34" s="1"/>
  <c r="G22" i="12"/>
  <c r="E5" i="34" s="1"/>
  <c r="F22" i="12"/>
  <c r="D5" i="34" s="1"/>
  <c r="BB21" i="12"/>
  <c r="AZ5" i="33" s="1"/>
  <c r="BA21" i="12"/>
  <c r="AY5" i="33" s="1"/>
  <c r="BT5" i="33" s="1"/>
  <c r="AZ21" i="12"/>
  <c r="AY21" i="12"/>
  <c r="AW5" i="33" s="1"/>
  <c r="AX21" i="12"/>
  <c r="AV5" i="33" s="1"/>
  <c r="AW21" i="12"/>
  <c r="AU5" i="33" s="1"/>
  <c r="AV21" i="12"/>
  <c r="AT5" i="33" s="1"/>
  <c r="AU21" i="12"/>
  <c r="AS5" i="33" s="1"/>
  <c r="AT21" i="12"/>
  <c r="AR5" i="33" s="1"/>
  <c r="AS21" i="12"/>
  <c r="AQ5" i="33" s="1"/>
  <c r="AR21" i="12"/>
  <c r="AP5" i="33" s="1"/>
  <c r="AQ21" i="12"/>
  <c r="AO5" i="33" s="1"/>
  <c r="AP21" i="12"/>
  <c r="AN5" i="33" s="1"/>
  <c r="AN21" i="12"/>
  <c r="AL5" i="33"/>
  <c r="AM21" i="12"/>
  <c r="AK5" i="33"/>
  <c r="AK21" i="12"/>
  <c r="AI5" i="33"/>
  <c r="AJ21" i="12"/>
  <c r="AH5" i="33"/>
  <c r="AI21" i="12"/>
  <c r="AG5" i="33"/>
  <c r="AH21" i="12"/>
  <c r="AF5" i="33"/>
  <c r="AF21" i="12"/>
  <c r="AD5" i="33"/>
  <c r="AE21" i="12"/>
  <c r="AC5" i="33"/>
  <c r="AD21" i="12"/>
  <c r="AB5" i="33"/>
  <c r="AC21" i="12"/>
  <c r="AA5" i="33"/>
  <c r="AB21" i="12"/>
  <c r="Z5" i="33"/>
  <c r="AA21" i="12"/>
  <c r="Y5" i="33"/>
  <c r="Z21" i="12"/>
  <c r="X5" i="33"/>
  <c r="Y21" i="12"/>
  <c r="W5" i="33"/>
  <c r="X21" i="12"/>
  <c r="V5" i="33"/>
  <c r="W21" i="12"/>
  <c r="U5" i="33"/>
  <c r="BW5" i="33" s="1"/>
  <c r="V21" i="12"/>
  <c r="T5" i="33"/>
  <c r="U21" i="12"/>
  <c r="S5" i="33"/>
  <c r="T21" i="12"/>
  <c r="S21" i="12"/>
  <c r="Q5" i="33" s="1"/>
  <c r="P21" i="12"/>
  <c r="N5" i="33" s="1"/>
  <c r="O21" i="12"/>
  <c r="M5" i="33" s="1"/>
  <c r="M21" i="12"/>
  <c r="K5" i="33" s="1"/>
  <c r="L21" i="12"/>
  <c r="J5" i="35" s="1"/>
  <c r="J21" i="12"/>
  <c r="I21" i="12"/>
  <c r="G5" i="35" s="1"/>
  <c r="H21" i="12"/>
  <c r="G21" i="12"/>
  <c r="E5" i="35" s="1"/>
  <c r="BB22" i="1"/>
  <c r="AZ6" i="34" s="1"/>
  <c r="BA22" i="1"/>
  <c r="AY6" i="34" s="1"/>
  <c r="AZ22" i="1"/>
  <c r="AX6" i="34" s="1"/>
  <c r="AY22" i="1"/>
  <c r="AW6" i="34" s="1"/>
  <c r="AX22" i="1"/>
  <c r="AV6" i="34" s="1"/>
  <c r="AW22" i="1"/>
  <c r="AU6" i="34" s="1"/>
  <c r="AV22" i="1"/>
  <c r="AT6" i="34" s="1"/>
  <c r="AU22" i="1"/>
  <c r="AS6" i="34" s="1"/>
  <c r="AT22" i="1"/>
  <c r="AR6" i="34" s="1"/>
  <c r="AS22" i="1"/>
  <c r="AQ6" i="34" s="1"/>
  <c r="AR22" i="1"/>
  <c r="AP6" i="34" s="1"/>
  <c r="AQ22" i="1"/>
  <c r="AO6" i="34" s="1"/>
  <c r="AP22" i="1"/>
  <c r="AN6" i="34" s="1"/>
  <c r="AM22" i="1"/>
  <c r="AK6" i="34" s="1"/>
  <c r="AJ22" i="1"/>
  <c r="AH6" i="34" s="1"/>
  <c r="AI22" i="1"/>
  <c r="AG6" i="34" s="1"/>
  <c r="AH22" i="1"/>
  <c r="AF6" i="34" s="1"/>
  <c r="AF22" i="1"/>
  <c r="AD6" i="34" s="1"/>
  <c r="AE22" i="1"/>
  <c r="AC6" i="34" s="1"/>
  <c r="AC22" i="1"/>
  <c r="AA6" i="34" s="1"/>
  <c r="AB22" i="1"/>
  <c r="Z6" i="34" s="1"/>
  <c r="AA22" i="1"/>
  <c r="Y6" i="34" s="1"/>
  <c r="Z22" i="1"/>
  <c r="X6" i="34" s="1"/>
  <c r="Y22" i="1"/>
  <c r="W6" i="34" s="1"/>
  <c r="W22" i="1"/>
  <c r="U6" i="34" s="1"/>
  <c r="V22" i="1"/>
  <c r="T6" i="34" s="1"/>
  <c r="U22" i="1"/>
  <c r="S6" i="34" s="1"/>
  <c r="T22" i="1"/>
  <c r="R6" i="34" s="1"/>
  <c r="S22" i="1"/>
  <c r="Q6" i="34" s="1"/>
  <c r="Q22" i="1"/>
  <c r="O6" i="34" s="1"/>
  <c r="P22" i="1"/>
  <c r="N6" i="34" s="1"/>
  <c r="O22" i="1"/>
  <c r="M6" i="34" s="1"/>
  <c r="N22" i="1"/>
  <c r="L6" i="34" s="1"/>
  <c r="M22" i="1"/>
  <c r="K6" i="34" s="1"/>
  <c r="L22" i="1"/>
  <c r="J6" i="34" s="1"/>
  <c r="K22" i="1"/>
  <c r="I6" i="34" s="1"/>
  <c r="J22" i="1"/>
  <c r="H6" i="34" s="1"/>
  <c r="I22" i="1"/>
  <c r="G6" i="34" s="1"/>
  <c r="H22" i="1"/>
  <c r="F6" i="34"/>
  <c r="G22" i="1"/>
  <c r="E6" i="34"/>
  <c r="F22" i="1"/>
  <c r="D6" i="34"/>
  <c r="BB21" i="1"/>
  <c r="AZ6" i="33"/>
  <c r="BA21" i="1"/>
  <c r="L6" i="35" s="1"/>
  <c r="AY6" i="33"/>
  <c r="BT6" i="33" s="1"/>
  <c r="AZ21" i="1"/>
  <c r="K6" i="35" s="1"/>
  <c r="AX6" i="33"/>
  <c r="BS6" i="33" s="1"/>
  <c r="AY21" i="1"/>
  <c r="AW6" i="33"/>
  <c r="AX21" i="1"/>
  <c r="AV6" i="33"/>
  <c r="AW21" i="1"/>
  <c r="AU6" i="33"/>
  <c r="AV21" i="1"/>
  <c r="AT6" i="33" s="1"/>
  <c r="AU21" i="1"/>
  <c r="AS6" i="33" s="1"/>
  <c r="AT21" i="1"/>
  <c r="AR6" i="33" s="1"/>
  <c r="AS21" i="1"/>
  <c r="AQ6" i="33" s="1"/>
  <c r="AR21" i="1"/>
  <c r="AP6" i="33" s="1"/>
  <c r="AQ21" i="1"/>
  <c r="AO6" i="33" s="1"/>
  <c r="AP21" i="1"/>
  <c r="AN6" i="33" s="1"/>
  <c r="AO21" i="1"/>
  <c r="AM6" i="33" s="1"/>
  <c r="AM21" i="1"/>
  <c r="AK6" i="33" s="1"/>
  <c r="AL21" i="1"/>
  <c r="AJ6" i="33" s="1"/>
  <c r="AK21" i="1"/>
  <c r="AI6" i="33" s="1"/>
  <c r="AJ21" i="1"/>
  <c r="AH6" i="33" s="1"/>
  <c r="AI21" i="1"/>
  <c r="AG6" i="33" s="1"/>
  <c r="AH21" i="1"/>
  <c r="AF6" i="33" s="1"/>
  <c r="AG21" i="1"/>
  <c r="AE6" i="33" s="1"/>
  <c r="AF21" i="1"/>
  <c r="AD6" i="33" s="1"/>
  <c r="AE21" i="1"/>
  <c r="AC6" i="33" s="1"/>
  <c r="AC21" i="1"/>
  <c r="AA6" i="33" s="1"/>
  <c r="AB21" i="1"/>
  <c r="Z6" i="33" s="1"/>
  <c r="AA21" i="1"/>
  <c r="Y6" i="33" s="1"/>
  <c r="Z21" i="1"/>
  <c r="X6" i="33"/>
  <c r="Y21" i="1"/>
  <c r="W6" i="33"/>
  <c r="W21" i="1"/>
  <c r="U6" i="33"/>
  <c r="BW6" i="33" s="1"/>
  <c r="V21" i="1"/>
  <c r="T6" i="33"/>
  <c r="U21" i="1"/>
  <c r="S6" i="33"/>
  <c r="T21" i="1"/>
  <c r="R6" i="33"/>
  <c r="S21" i="1"/>
  <c r="Q6" i="33"/>
  <c r="BX6" i="33" s="1"/>
  <c r="Q21" i="1"/>
  <c r="O6" i="33"/>
  <c r="BV6" i="33" s="1"/>
  <c r="P21" i="1"/>
  <c r="N6" i="33"/>
  <c r="O21" i="1"/>
  <c r="M6" i="33"/>
  <c r="N21" i="1"/>
  <c r="L6" i="33"/>
  <c r="BU6" i="33" s="1"/>
  <c r="M21" i="1"/>
  <c r="K6" i="33"/>
  <c r="L21" i="1"/>
  <c r="J6" i="35" s="1"/>
  <c r="J6" i="33"/>
  <c r="BK6" i="33" s="1"/>
  <c r="K21" i="1"/>
  <c r="I6" i="35" s="1"/>
  <c r="I6" i="33"/>
  <c r="BJ6" i="33" s="1"/>
  <c r="J21" i="1"/>
  <c r="H6" i="35" s="1"/>
  <c r="H6" i="33"/>
  <c r="BI6" i="33" s="1"/>
  <c r="I21" i="1"/>
  <c r="G6" i="35" s="1"/>
  <c r="G6" i="33"/>
  <c r="BH6" i="33" s="1"/>
  <c r="H21" i="1"/>
  <c r="F6" i="35" s="1"/>
  <c r="F6" i="33"/>
  <c r="G21" i="1"/>
  <c r="E6" i="35" s="1"/>
  <c r="E6" i="33"/>
  <c r="F21" i="1"/>
  <c r="D6" i="35" s="1"/>
  <c r="D6" i="33"/>
  <c r="E21" i="1"/>
  <c r="C6" i="35" s="1"/>
  <c r="C6" i="33"/>
  <c r="BD6" i="33" s="1"/>
  <c r="BB22" i="3"/>
  <c r="AZ7" i="34"/>
  <c r="BA22" i="3"/>
  <c r="AY7" i="34"/>
  <c r="AZ22" i="3"/>
  <c r="AX7" i="34"/>
  <c r="AY22" i="3"/>
  <c r="AW7" i="34"/>
  <c r="AX22" i="3"/>
  <c r="AV7" i="34"/>
  <c r="AW22" i="3"/>
  <c r="AU7" i="34"/>
  <c r="AV22" i="3"/>
  <c r="AT7" i="34"/>
  <c r="AU22" i="3"/>
  <c r="AS7" i="34"/>
  <c r="AT22" i="3"/>
  <c r="AR7" i="34"/>
  <c r="AS22" i="3"/>
  <c r="AQ7" i="34"/>
  <c r="AR22" i="3"/>
  <c r="AP7" i="34"/>
  <c r="AQ22" i="3"/>
  <c r="AO7" i="34"/>
  <c r="AP22" i="3"/>
  <c r="AN7" i="34"/>
  <c r="AN22" i="3"/>
  <c r="AL7" i="34"/>
  <c r="AJ22" i="3"/>
  <c r="AH7" i="34"/>
  <c r="AI22" i="3"/>
  <c r="AG7" i="34"/>
  <c r="AH22" i="3"/>
  <c r="AF7" i="34"/>
  <c r="AF22" i="3"/>
  <c r="AD7" i="34"/>
  <c r="AE22" i="3"/>
  <c r="AC7" i="34"/>
  <c r="AC22" i="3"/>
  <c r="AA7" i="34"/>
  <c r="AB22" i="3"/>
  <c r="Z7" i="34"/>
  <c r="AA22" i="3"/>
  <c r="Y7" i="34"/>
  <c r="Z22" i="3"/>
  <c r="X7" i="34"/>
  <c r="Y22" i="3"/>
  <c r="W7" i="34"/>
  <c r="X22" i="3"/>
  <c r="V7" i="34"/>
  <c r="W22" i="3"/>
  <c r="U7" i="34"/>
  <c r="V22" i="3"/>
  <c r="T7" i="34"/>
  <c r="U22" i="3"/>
  <c r="S7" i="34"/>
  <c r="T22" i="3"/>
  <c r="R7" i="34"/>
  <c r="S22" i="3"/>
  <c r="Q7" i="34"/>
  <c r="Q22" i="3"/>
  <c r="O7" i="34"/>
  <c r="P22" i="3"/>
  <c r="N7" i="34"/>
  <c r="O22" i="3"/>
  <c r="M7" i="34"/>
  <c r="N22" i="3"/>
  <c r="L7" i="34"/>
  <c r="M22" i="3"/>
  <c r="K7" i="34"/>
  <c r="L22" i="3"/>
  <c r="J7" i="34"/>
  <c r="K22" i="3"/>
  <c r="I7" i="34"/>
  <c r="J22" i="3"/>
  <c r="H7" i="34"/>
  <c r="I22" i="3"/>
  <c r="G7" i="34"/>
  <c r="H22" i="3"/>
  <c r="F7" i="34"/>
  <c r="G22" i="3"/>
  <c r="E7" i="34"/>
  <c r="F22" i="3"/>
  <c r="D7" i="34"/>
  <c r="E22" i="3"/>
  <c r="C7" i="34"/>
  <c r="BB21" i="3"/>
  <c r="AZ7" i="33"/>
  <c r="BA21" i="3"/>
  <c r="L7" i="35" s="1"/>
  <c r="AY7" i="33"/>
  <c r="BT7" i="33" s="1"/>
  <c r="AZ21" i="3"/>
  <c r="K7" i="35" s="1"/>
  <c r="AX7" i="33"/>
  <c r="BS7" i="33" s="1"/>
  <c r="AY21" i="3"/>
  <c r="AW7" i="33"/>
  <c r="AX21" i="3"/>
  <c r="AV7" i="33"/>
  <c r="AW21" i="3"/>
  <c r="AU7" i="33"/>
  <c r="AV21" i="3"/>
  <c r="AU21" i="3"/>
  <c r="AS7" i="33" s="1"/>
  <c r="AT21" i="3"/>
  <c r="AR7" i="33" s="1"/>
  <c r="AS21" i="3"/>
  <c r="AQ7" i="33" s="1"/>
  <c r="AR21" i="3"/>
  <c r="AP7" i="33" s="1"/>
  <c r="AQ21" i="3"/>
  <c r="AO7" i="33" s="1"/>
  <c r="AP21" i="3"/>
  <c r="AN7" i="33" s="1"/>
  <c r="AN21" i="3"/>
  <c r="AL7" i="33" s="1"/>
  <c r="AL21" i="3"/>
  <c r="AJ7" i="33" s="1"/>
  <c r="AJ21" i="3"/>
  <c r="AH7" i="33" s="1"/>
  <c r="AI21" i="3"/>
  <c r="AG7" i="33" s="1"/>
  <c r="AH21" i="3"/>
  <c r="AF7" i="33" s="1"/>
  <c r="AF21" i="3"/>
  <c r="AD7" i="33" s="1"/>
  <c r="AE21" i="3"/>
  <c r="AC7" i="33" s="1"/>
  <c r="AD21" i="3"/>
  <c r="AB7" i="33"/>
  <c r="AC21" i="3"/>
  <c r="AA7" i="33" s="1"/>
  <c r="AB21" i="3"/>
  <c r="Z7" i="33" s="1"/>
  <c r="AA21" i="3"/>
  <c r="Y7" i="33" s="1"/>
  <c r="Z21" i="3"/>
  <c r="X7" i="33"/>
  <c r="Y21" i="3"/>
  <c r="W7" i="33" s="1"/>
  <c r="W21" i="3"/>
  <c r="U7" i="33" s="1"/>
  <c r="BW7" i="33" s="1"/>
  <c r="V21" i="3"/>
  <c r="T7" i="33" s="1"/>
  <c r="U21" i="3"/>
  <c r="S7" i="33"/>
  <c r="T21" i="3"/>
  <c r="R7" i="33" s="1"/>
  <c r="S21" i="3"/>
  <c r="Q7" i="33" s="1"/>
  <c r="BX7" i="33" s="1"/>
  <c r="R21" i="3"/>
  <c r="P7" i="33" s="1"/>
  <c r="Q21" i="3"/>
  <c r="O7" i="33"/>
  <c r="BV7" i="33" s="1"/>
  <c r="P21" i="3"/>
  <c r="N7" i="33" s="1"/>
  <c r="O21" i="3"/>
  <c r="M7" i="33" s="1"/>
  <c r="N21" i="3"/>
  <c r="L7" i="33" s="1"/>
  <c r="BU7" i="33" s="1"/>
  <c r="M21" i="3"/>
  <c r="K7" i="33"/>
  <c r="L21" i="3"/>
  <c r="K21" i="3"/>
  <c r="I7" i="35" s="1"/>
  <c r="J21" i="3"/>
  <c r="I21" i="3"/>
  <c r="G7" i="35" s="1"/>
  <c r="G7" i="33"/>
  <c r="BH7" i="33" s="1"/>
  <c r="H21" i="3"/>
  <c r="G21" i="3"/>
  <c r="F21" i="3"/>
  <c r="E21" i="3"/>
  <c r="C7" i="35" s="1"/>
  <c r="C7" i="33"/>
  <c r="BD7" i="33" s="1"/>
  <c r="BB22" i="4"/>
  <c r="AZ8" i="34" s="1"/>
  <c r="BA22" i="4"/>
  <c r="AY8" i="34" s="1"/>
  <c r="AZ22" i="4"/>
  <c r="AX8" i="34" s="1"/>
  <c r="AY22" i="4"/>
  <c r="AW8" i="34"/>
  <c r="AX22" i="4"/>
  <c r="AV8" i="34" s="1"/>
  <c r="AW22" i="4"/>
  <c r="AU8" i="34" s="1"/>
  <c r="AV22" i="4"/>
  <c r="AT8" i="34" s="1"/>
  <c r="AU22" i="4"/>
  <c r="AS8" i="34"/>
  <c r="AT22" i="4"/>
  <c r="AR8" i="34" s="1"/>
  <c r="AS22" i="4"/>
  <c r="AQ8" i="34" s="1"/>
  <c r="AR22" i="4"/>
  <c r="AP8" i="34" s="1"/>
  <c r="AQ22" i="4"/>
  <c r="AO8" i="34"/>
  <c r="AP22" i="4"/>
  <c r="AN8" i="34" s="1"/>
  <c r="AO22" i="4"/>
  <c r="AM8" i="34" s="1"/>
  <c r="AM22" i="4"/>
  <c r="AK8" i="34" s="1"/>
  <c r="AK22" i="4"/>
  <c r="AI8" i="34"/>
  <c r="AJ22" i="4"/>
  <c r="AH8" i="34" s="1"/>
  <c r="AI22" i="4"/>
  <c r="AG8" i="34" s="1"/>
  <c r="AH22" i="4"/>
  <c r="AF8" i="34" s="1"/>
  <c r="AG22" i="4"/>
  <c r="AE8" i="34"/>
  <c r="AF22" i="4"/>
  <c r="AD8" i="34" s="1"/>
  <c r="AE22" i="4"/>
  <c r="AC8" i="34" s="1"/>
  <c r="AD22" i="4"/>
  <c r="AB8" i="34" s="1"/>
  <c r="AC22" i="4"/>
  <c r="AA8" i="34"/>
  <c r="AB22" i="4"/>
  <c r="Z8" i="34" s="1"/>
  <c r="AA22" i="4"/>
  <c r="Y8" i="34" s="1"/>
  <c r="Z22" i="4"/>
  <c r="X8" i="34" s="1"/>
  <c r="Y22" i="4"/>
  <c r="W8" i="34"/>
  <c r="X22" i="4"/>
  <c r="V8" i="34" s="1"/>
  <c r="W22" i="4"/>
  <c r="U8" i="34" s="1"/>
  <c r="V22" i="4"/>
  <c r="T8" i="34" s="1"/>
  <c r="U22" i="4"/>
  <c r="S8" i="34"/>
  <c r="T22" i="4"/>
  <c r="R8" i="34" s="1"/>
  <c r="S22" i="4"/>
  <c r="Q8" i="34" s="1"/>
  <c r="R22" i="4"/>
  <c r="P8" i="34" s="1"/>
  <c r="Q22" i="4"/>
  <c r="O8" i="34"/>
  <c r="P22" i="4"/>
  <c r="N8" i="34" s="1"/>
  <c r="O22" i="4"/>
  <c r="M8" i="34" s="1"/>
  <c r="N22" i="4"/>
  <c r="L8" i="34" s="1"/>
  <c r="M22" i="4"/>
  <c r="K8" i="34"/>
  <c r="L22" i="4"/>
  <c r="J8" i="34" s="1"/>
  <c r="K22" i="4"/>
  <c r="I8" i="34" s="1"/>
  <c r="J22" i="4"/>
  <c r="H8" i="34" s="1"/>
  <c r="I22" i="4"/>
  <c r="G8" i="34"/>
  <c r="H22" i="4"/>
  <c r="F8" i="34" s="1"/>
  <c r="G22" i="4"/>
  <c r="E8" i="34" s="1"/>
  <c r="F22" i="4"/>
  <c r="D8" i="34" s="1"/>
  <c r="E22" i="4"/>
  <c r="C8" i="34"/>
  <c r="BB21" i="4"/>
  <c r="AZ8" i="33" s="1"/>
  <c r="BA21" i="4"/>
  <c r="AZ21" i="4"/>
  <c r="AY21" i="4"/>
  <c r="AW8" i="33"/>
  <c r="AX21" i="4"/>
  <c r="AV8" i="33"/>
  <c r="AW21" i="4"/>
  <c r="AU8" i="33"/>
  <c r="AV21" i="4"/>
  <c r="AT8" i="33"/>
  <c r="AU21" i="4"/>
  <c r="AS8" i="33"/>
  <c r="AT21" i="4"/>
  <c r="AR8" i="33"/>
  <c r="AS21" i="4"/>
  <c r="AQ8" i="33"/>
  <c r="AR21" i="4"/>
  <c r="AP8" i="33"/>
  <c r="AQ21" i="4"/>
  <c r="AO8" i="33"/>
  <c r="AP21" i="4"/>
  <c r="AN8" i="33"/>
  <c r="AO21" i="4"/>
  <c r="AM8" i="33"/>
  <c r="AM21" i="4"/>
  <c r="AK8" i="33"/>
  <c r="AK21" i="4"/>
  <c r="AI8" i="33"/>
  <c r="AJ21" i="4"/>
  <c r="AH8" i="33"/>
  <c r="AI21" i="4"/>
  <c r="AG8" i="33"/>
  <c r="AH21" i="4"/>
  <c r="AF8" i="33"/>
  <c r="AG21" i="4"/>
  <c r="AE8" i="33"/>
  <c r="AF21" i="4"/>
  <c r="AD8" i="33"/>
  <c r="AE21" i="4"/>
  <c r="AC8" i="33"/>
  <c r="AD21" i="4"/>
  <c r="AB8" i="33"/>
  <c r="AC21" i="4"/>
  <c r="AA8" i="33"/>
  <c r="AB21" i="4"/>
  <c r="Z8" i="33"/>
  <c r="AA21" i="4"/>
  <c r="Y8" i="33"/>
  <c r="Z21" i="4"/>
  <c r="X8" i="33"/>
  <c r="Y21" i="4"/>
  <c r="W8" i="33"/>
  <c r="X21" i="4"/>
  <c r="V8" i="33"/>
  <c r="W21" i="4"/>
  <c r="U8" i="33"/>
  <c r="BW8" i="33" s="1"/>
  <c r="V21" i="4"/>
  <c r="T8" i="33" s="1"/>
  <c r="U21" i="4"/>
  <c r="S8" i="33" s="1"/>
  <c r="T21" i="4"/>
  <c r="R8" i="33"/>
  <c r="S21" i="4"/>
  <c r="Q8" i="33" s="1"/>
  <c r="BX8" i="33" s="1"/>
  <c r="R21" i="4"/>
  <c r="P8" i="33" s="1"/>
  <c r="Q21" i="4"/>
  <c r="O8" i="33" s="1"/>
  <c r="BV8" i="33" s="1"/>
  <c r="P21" i="4"/>
  <c r="N8" i="33"/>
  <c r="O21" i="4"/>
  <c r="M8" i="33" s="1"/>
  <c r="N21" i="4"/>
  <c r="L8" i="33" s="1"/>
  <c r="BU8" i="33" s="1"/>
  <c r="M21" i="4"/>
  <c r="K8" i="33" s="1"/>
  <c r="L21" i="4"/>
  <c r="K21" i="4"/>
  <c r="J21" i="4"/>
  <c r="I21" i="4"/>
  <c r="H21" i="4"/>
  <c r="G21" i="4"/>
  <c r="F21" i="4"/>
  <c r="E21" i="4"/>
  <c r="BB22" i="22"/>
  <c r="AZ9" i="34" s="1"/>
  <c r="BA22" i="22"/>
  <c r="AY9" i="34" s="1"/>
  <c r="AZ22" i="22"/>
  <c r="AX9" i="34" s="1"/>
  <c r="AY22" i="22"/>
  <c r="AW9" i="34" s="1"/>
  <c r="AX22" i="22"/>
  <c r="AV9" i="34" s="1"/>
  <c r="AW22" i="22"/>
  <c r="AU9" i="34" s="1"/>
  <c r="AV22" i="22"/>
  <c r="AT9" i="34" s="1"/>
  <c r="AU22" i="22"/>
  <c r="AS9" i="34" s="1"/>
  <c r="AT22" i="22"/>
  <c r="AR9" i="34" s="1"/>
  <c r="AS22" i="22"/>
  <c r="AQ9" i="34" s="1"/>
  <c r="AQ22" i="22"/>
  <c r="AO9" i="34" s="1"/>
  <c r="AP22" i="22"/>
  <c r="AN9" i="34" s="1"/>
  <c r="AN22" i="22"/>
  <c r="AL9" i="34" s="1"/>
  <c r="AM22" i="22"/>
  <c r="AK9" i="34" s="1"/>
  <c r="AJ22" i="22"/>
  <c r="AH9" i="34" s="1"/>
  <c r="AI22" i="22"/>
  <c r="AG9" i="34" s="1"/>
  <c r="AH22" i="22"/>
  <c r="AF9" i="34" s="1"/>
  <c r="AG22" i="22"/>
  <c r="AE9" i="34" s="1"/>
  <c r="AF22" i="22"/>
  <c r="AD9" i="34" s="1"/>
  <c r="AE22" i="22"/>
  <c r="AC9" i="34" s="1"/>
  <c r="AD22" i="22"/>
  <c r="AB9" i="34" s="1"/>
  <c r="AB22" i="22"/>
  <c r="Z9" i="34" s="1"/>
  <c r="AA22" i="22"/>
  <c r="Y9" i="34" s="1"/>
  <c r="Z22" i="22"/>
  <c r="X9" i="34" s="1"/>
  <c r="Y22" i="22"/>
  <c r="W9" i="34" s="1"/>
  <c r="X22" i="22"/>
  <c r="V9" i="34" s="1"/>
  <c r="W22" i="22"/>
  <c r="U9" i="34" s="1"/>
  <c r="V22" i="22"/>
  <c r="T9" i="34" s="1"/>
  <c r="U22" i="22"/>
  <c r="S9" i="34" s="1"/>
  <c r="T22" i="22"/>
  <c r="R9" i="34" s="1"/>
  <c r="S22" i="22"/>
  <c r="Q9" i="34" s="1"/>
  <c r="Q22" i="22"/>
  <c r="O9" i="34" s="1"/>
  <c r="P22" i="22"/>
  <c r="N9" i="34" s="1"/>
  <c r="O22" i="22"/>
  <c r="M9" i="34" s="1"/>
  <c r="N22" i="22"/>
  <c r="L9" i="34" s="1"/>
  <c r="M22" i="22"/>
  <c r="K9" i="34" s="1"/>
  <c r="L22" i="22"/>
  <c r="J9" i="34" s="1"/>
  <c r="K22" i="22"/>
  <c r="I9" i="34" s="1"/>
  <c r="J22" i="22"/>
  <c r="H9" i="34" s="1"/>
  <c r="I22" i="22"/>
  <c r="G9" i="34" s="1"/>
  <c r="H22" i="22"/>
  <c r="F9" i="34" s="1"/>
  <c r="G22" i="22"/>
  <c r="E9" i="34" s="1"/>
  <c r="F22" i="22"/>
  <c r="D9" i="34" s="1"/>
  <c r="BB21" i="22"/>
  <c r="AZ9" i="33" s="1"/>
  <c r="BA21" i="22"/>
  <c r="AZ21" i="22"/>
  <c r="AY21" i="22"/>
  <c r="AW9" i="33" s="1"/>
  <c r="AX21" i="22"/>
  <c r="AV9" i="33" s="1"/>
  <c r="AW21" i="22"/>
  <c r="AU9" i="33" s="1"/>
  <c r="AV21" i="22"/>
  <c r="AT9" i="33" s="1"/>
  <c r="AU21" i="22"/>
  <c r="AS9" i="33" s="1"/>
  <c r="AT21" i="22"/>
  <c r="AR9" i="33" s="1"/>
  <c r="AS21" i="22"/>
  <c r="AQ9" i="33" s="1"/>
  <c r="AQ21" i="22"/>
  <c r="AO9" i="33" s="1"/>
  <c r="AP21" i="22"/>
  <c r="AN9" i="33" s="1"/>
  <c r="AO21" i="22"/>
  <c r="AM9" i="33" s="1"/>
  <c r="AN21" i="22"/>
  <c r="AL9" i="33" s="1"/>
  <c r="AM21" i="22"/>
  <c r="AK9" i="33" s="1"/>
  <c r="AK21" i="22"/>
  <c r="AI9" i="33" s="1"/>
  <c r="AJ21" i="22"/>
  <c r="AH9" i="33" s="1"/>
  <c r="AI21" i="22"/>
  <c r="AG9" i="33" s="1"/>
  <c r="AH21" i="22"/>
  <c r="AF9" i="33" s="1"/>
  <c r="AG21" i="22"/>
  <c r="AE9" i="33" s="1"/>
  <c r="AF21" i="22"/>
  <c r="AD9" i="33" s="1"/>
  <c r="AE21" i="22"/>
  <c r="AC9" i="33" s="1"/>
  <c r="AD21" i="22"/>
  <c r="AB9" i="33" s="1"/>
  <c r="AC21" i="22"/>
  <c r="AA9" i="33" s="1"/>
  <c r="AB21" i="22"/>
  <c r="Z9" i="33" s="1"/>
  <c r="AA21" i="22"/>
  <c r="Y9" i="33"/>
  <c r="Z21" i="22"/>
  <c r="X9" i="33"/>
  <c r="Y21" i="22"/>
  <c r="W9" i="33"/>
  <c r="X21" i="22"/>
  <c r="V9" i="33"/>
  <c r="W21" i="22"/>
  <c r="U9" i="33"/>
  <c r="BW9" i="33" s="1"/>
  <c r="V21" i="22"/>
  <c r="T9" i="33"/>
  <c r="U21" i="22"/>
  <c r="S9" i="33"/>
  <c r="T21" i="22"/>
  <c r="R9" i="33"/>
  <c r="S21" i="22"/>
  <c r="Q9" i="33"/>
  <c r="BX9" i="33" s="1"/>
  <c r="Q21" i="22"/>
  <c r="O9" i="33"/>
  <c r="BV9" i="33" s="1"/>
  <c r="P21" i="22"/>
  <c r="N9" i="33"/>
  <c r="O21" i="22"/>
  <c r="M9" i="33"/>
  <c r="N21" i="22"/>
  <c r="L9" i="33"/>
  <c r="BU9" i="33" s="1"/>
  <c r="M21" i="22"/>
  <c r="K9" i="33"/>
  <c r="L21" i="22"/>
  <c r="J9" i="35" s="1"/>
  <c r="J9" i="33"/>
  <c r="BK9" i="33" s="1"/>
  <c r="K21" i="22"/>
  <c r="I9" i="35" s="1"/>
  <c r="I9" i="33"/>
  <c r="BJ9" i="33" s="1"/>
  <c r="J21" i="22"/>
  <c r="H9" i="35" s="1"/>
  <c r="H9" i="33"/>
  <c r="BI9" i="33" s="1"/>
  <c r="I21" i="22"/>
  <c r="G9" i="35" s="1"/>
  <c r="G9" i="33"/>
  <c r="BH9" i="33" s="1"/>
  <c r="H21" i="22"/>
  <c r="F9" i="35" s="1"/>
  <c r="F9" i="33"/>
  <c r="G21" i="22"/>
  <c r="E9" i="35" s="1"/>
  <c r="E9" i="33"/>
  <c r="F21" i="22"/>
  <c r="D9" i="35" s="1"/>
  <c r="D9" i="33"/>
  <c r="BB22" i="25"/>
  <c r="AZ10" i="34"/>
  <c r="BA22" i="25"/>
  <c r="AY10" i="34"/>
  <c r="AZ22" i="25"/>
  <c r="AX10" i="34"/>
  <c r="AY22" i="25"/>
  <c r="AW10" i="34"/>
  <c r="AX22" i="25"/>
  <c r="AV10" i="34"/>
  <c r="AW22" i="25"/>
  <c r="AU10" i="34"/>
  <c r="AV22" i="25"/>
  <c r="AT10" i="34"/>
  <c r="AU22" i="25"/>
  <c r="AS10" i="34"/>
  <c r="AT22" i="25"/>
  <c r="AR10" i="34"/>
  <c r="AS22" i="25"/>
  <c r="AQ10" i="34"/>
  <c r="AQ22" i="25"/>
  <c r="AO10" i="34"/>
  <c r="AP22" i="25"/>
  <c r="AN10" i="34"/>
  <c r="AO22" i="25"/>
  <c r="AM10" i="34"/>
  <c r="AM22" i="25"/>
  <c r="AK10" i="34"/>
  <c r="AK22" i="25"/>
  <c r="AI10" i="34"/>
  <c r="AI22" i="25"/>
  <c r="AG10" i="34"/>
  <c r="AH22" i="25"/>
  <c r="AF10" i="34"/>
  <c r="AG22" i="25"/>
  <c r="AE10" i="34"/>
  <c r="AF22" i="25"/>
  <c r="AD10" i="34"/>
  <c r="AE22" i="25"/>
  <c r="AC10" i="34"/>
  <c r="AD22" i="25"/>
  <c r="AB10" i="34"/>
  <c r="AC22" i="25"/>
  <c r="AA10" i="34"/>
  <c r="AB22" i="25"/>
  <c r="Z10" i="34"/>
  <c r="AA22" i="25"/>
  <c r="Y10" i="34"/>
  <c r="Z22" i="25"/>
  <c r="X10" i="34"/>
  <c r="Y22" i="25"/>
  <c r="W10" i="34"/>
  <c r="W22" i="25"/>
  <c r="U10" i="34"/>
  <c r="V22" i="25"/>
  <c r="T10" i="34"/>
  <c r="U22" i="25"/>
  <c r="S10" i="34"/>
  <c r="T22" i="25"/>
  <c r="R10" i="34"/>
  <c r="S22" i="25"/>
  <c r="Q10" i="34"/>
  <c r="Q22" i="25"/>
  <c r="O10" i="34"/>
  <c r="P22" i="25"/>
  <c r="N10" i="34"/>
  <c r="O22" i="25"/>
  <c r="M10" i="34"/>
  <c r="M22" i="25"/>
  <c r="K10" i="34"/>
  <c r="K22" i="25"/>
  <c r="I10" i="34"/>
  <c r="J22" i="25"/>
  <c r="H10" i="34"/>
  <c r="I22" i="25"/>
  <c r="G10" i="34"/>
  <c r="H22" i="25"/>
  <c r="F10" i="34"/>
  <c r="G22" i="25"/>
  <c r="E10" i="34"/>
  <c r="E22" i="25"/>
  <c r="C10" i="34"/>
  <c r="BB21" i="25"/>
  <c r="AZ10" i="33"/>
  <c r="BA21" i="25"/>
  <c r="L10" i="35" s="1"/>
  <c r="AY10" i="33"/>
  <c r="BT10" i="33" s="1"/>
  <c r="AZ21" i="25"/>
  <c r="K10" i="35" s="1"/>
  <c r="AX10" i="33"/>
  <c r="BS10" i="33" s="1"/>
  <c r="AY21" i="25"/>
  <c r="AW10" i="33"/>
  <c r="AX21" i="25"/>
  <c r="AV10" i="33"/>
  <c r="AW21" i="25"/>
  <c r="AU10" i="33"/>
  <c r="AV21" i="25"/>
  <c r="AT10" i="33"/>
  <c r="AU21" i="25"/>
  <c r="AS10" i="33"/>
  <c r="AT21" i="25"/>
  <c r="AR10" i="33"/>
  <c r="AS21" i="25"/>
  <c r="AQ10" i="33"/>
  <c r="AQ21" i="25"/>
  <c r="AO10" i="33"/>
  <c r="AP21" i="25"/>
  <c r="AN10" i="33"/>
  <c r="AM21" i="25"/>
  <c r="AK10" i="33"/>
  <c r="AI21" i="25"/>
  <c r="AG10" i="33" s="1"/>
  <c r="AH21" i="25"/>
  <c r="AF10" i="33" s="1"/>
  <c r="AF21" i="25"/>
  <c r="AD10" i="33" s="1"/>
  <c r="AE21" i="25"/>
  <c r="AC10" i="33" s="1"/>
  <c r="AD21" i="25"/>
  <c r="AB10" i="33" s="1"/>
  <c r="AC21" i="25"/>
  <c r="AA10" i="33" s="1"/>
  <c r="AB21" i="25"/>
  <c r="Z10" i="33" s="1"/>
  <c r="AA21" i="25"/>
  <c r="Y10" i="33" s="1"/>
  <c r="Z21" i="25"/>
  <c r="X10" i="33"/>
  <c r="Y21" i="25"/>
  <c r="W10" i="33" s="1"/>
  <c r="W21" i="25"/>
  <c r="U10" i="33" s="1"/>
  <c r="BW10" i="33" s="1"/>
  <c r="V21" i="25"/>
  <c r="T10" i="33" s="1"/>
  <c r="T21" i="25"/>
  <c r="R10" i="33"/>
  <c r="S21" i="25"/>
  <c r="Q10" i="33" s="1"/>
  <c r="BX10" i="33" s="1"/>
  <c r="Q21" i="25"/>
  <c r="O10" i="33" s="1"/>
  <c r="BV10" i="33" s="1"/>
  <c r="P21" i="25"/>
  <c r="N10" i="33" s="1"/>
  <c r="O21" i="25"/>
  <c r="M10" i="33"/>
  <c r="M21" i="25"/>
  <c r="K10" i="33" s="1"/>
  <c r="K21" i="25"/>
  <c r="J21" i="25"/>
  <c r="I21" i="25"/>
  <c r="G10" i="35" s="1"/>
  <c r="G10" i="33"/>
  <c r="BH10" i="33" s="1"/>
  <c r="H21" i="25"/>
  <c r="G21" i="25"/>
  <c r="E10" i="35" s="1"/>
  <c r="BB22" i="24"/>
  <c r="AZ11" i="34" s="1"/>
  <c r="BA22" i="24"/>
  <c r="AY11" i="34"/>
  <c r="AZ22" i="24"/>
  <c r="AX11" i="34" s="1"/>
  <c r="AY22" i="24"/>
  <c r="AW11" i="34" s="1"/>
  <c r="AX22" i="24"/>
  <c r="AV11" i="34" s="1"/>
  <c r="AW22" i="24"/>
  <c r="AU11" i="34" s="1"/>
  <c r="AV22" i="24"/>
  <c r="AT11" i="34" s="1"/>
  <c r="AU22" i="24"/>
  <c r="AS11" i="34" s="1"/>
  <c r="AT22" i="24"/>
  <c r="AR11" i="34" s="1"/>
  <c r="AS22" i="24"/>
  <c r="AQ11" i="34" s="1"/>
  <c r="AQ22" i="24"/>
  <c r="AO11" i="34" s="1"/>
  <c r="AP22" i="24"/>
  <c r="AN11" i="34" s="1"/>
  <c r="AM22" i="24"/>
  <c r="AK11" i="34" s="1"/>
  <c r="AL22" i="24"/>
  <c r="AJ11" i="34" s="1"/>
  <c r="AJ22" i="24"/>
  <c r="AH11" i="34" s="1"/>
  <c r="AI22" i="24"/>
  <c r="AG11" i="34" s="1"/>
  <c r="AH22" i="24"/>
  <c r="AF11" i="34" s="1"/>
  <c r="AF22" i="24"/>
  <c r="AD11" i="34" s="1"/>
  <c r="AE22" i="24"/>
  <c r="AC11" i="34" s="1"/>
  <c r="AD22" i="24"/>
  <c r="AB11" i="34" s="1"/>
  <c r="AC22" i="24"/>
  <c r="AA11" i="34" s="1"/>
  <c r="AB22" i="24"/>
  <c r="Z11" i="34" s="1"/>
  <c r="AA22" i="24"/>
  <c r="Y11" i="34" s="1"/>
  <c r="Z22" i="24"/>
  <c r="X11" i="34" s="1"/>
  <c r="Y22" i="24"/>
  <c r="W11" i="34" s="1"/>
  <c r="X22" i="24"/>
  <c r="V11" i="34" s="1"/>
  <c r="W22" i="24"/>
  <c r="U11" i="34" s="1"/>
  <c r="V22" i="24"/>
  <c r="T11" i="34" s="1"/>
  <c r="T22" i="24"/>
  <c r="R11" i="34" s="1"/>
  <c r="S22" i="24"/>
  <c r="Q11" i="34" s="1"/>
  <c r="R22" i="24"/>
  <c r="P11" i="34" s="1"/>
  <c r="Q22" i="24"/>
  <c r="O11" i="34" s="1"/>
  <c r="P22" i="24"/>
  <c r="N11" i="34" s="1"/>
  <c r="O22" i="24"/>
  <c r="M11" i="34" s="1"/>
  <c r="N22" i="24"/>
  <c r="L11" i="34" s="1"/>
  <c r="M22" i="24"/>
  <c r="K11" i="34" s="1"/>
  <c r="L22" i="24"/>
  <c r="J11" i="34" s="1"/>
  <c r="K22" i="24"/>
  <c r="I11" i="34" s="1"/>
  <c r="J22" i="24"/>
  <c r="H11" i="34" s="1"/>
  <c r="I22" i="24"/>
  <c r="G11" i="34" s="1"/>
  <c r="H22" i="24"/>
  <c r="F11" i="34" s="1"/>
  <c r="G22" i="24"/>
  <c r="E11" i="34" s="1"/>
  <c r="F22" i="24"/>
  <c r="D11" i="34" s="1"/>
  <c r="BB21" i="24"/>
  <c r="AZ11" i="33" s="1"/>
  <c r="BA21" i="24"/>
  <c r="L11" i="35" s="1"/>
  <c r="AY11" i="33"/>
  <c r="BT11" i="33" s="1"/>
  <c r="AZ21" i="24"/>
  <c r="K11" i="35" s="1"/>
  <c r="AX11" i="33"/>
  <c r="BS11" i="33" s="1"/>
  <c r="AY21" i="24"/>
  <c r="AW11" i="33"/>
  <c r="AX21" i="24"/>
  <c r="AV11" i="33"/>
  <c r="AW21" i="24"/>
  <c r="AU11" i="33"/>
  <c r="AV21" i="24"/>
  <c r="AT11" i="33"/>
  <c r="AU21" i="24"/>
  <c r="AS11" i="33"/>
  <c r="AT21" i="24"/>
  <c r="AR11" i="33"/>
  <c r="AS21" i="24"/>
  <c r="AQ11" i="33"/>
  <c r="AR21" i="24"/>
  <c r="AP11" i="33"/>
  <c r="AQ21" i="24"/>
  <c r="AO11" i="33"/>
  <c r="AP21" i="24"/>
  <c r="AN11" i="33"/>
  <c r="AN21" i="24"/>
  <c r="AL11" i="33"/>
  <c r="AM21" i="24"/>
  <c r="AK11" i="33"/>
  <c r="AJ21" i="24"/>
  <c r="AH11" i="33"/>
  <c r="AI21" i="24"/>
  <c r="AG11" i="33"/>
  <c r="AH21" i="24"/>
  <c r="AF11" i="33"/>
  <c r="AF21" i="24"/>
  <c r="AD11" i="33"/>
  <c r="AE21" i="24"/>
  <c r="AC11" i="33"/>
  <c r="AD21" i="24"/>
  <c r="AB11" i="33"/>
  <c r="AC21" i="24"/>
  <c r="AA11" i="33"/>
  <c r="AB21" i="24"/>
  <c r="Z11" i="33"/>
  <c r="AA21" i="24"/>
  <c r="Y11" i="33"/>
  <c r="Z21" i="24"/>
  <c r="X11" i="33"/>
  <c r="Y21" i="24"/>
  <c r="W11" i="33"/>
  <c r="X21" i="24"/>
  <c r="V11" i="33" s="1"/>
  <c r="W21" i="24"/>
  <c r="U11" i="33" s="1"/>
  <c r="BW11" i="33" s="1"/>
  <c r="V21" i="24"/>
  <c r="T11" i="33" s="1"/>
  <c r="T21" i="24"/>
  <c r="R11" i="33" s="1"/>
  <c r="S21" i="24"/>
  <c r="Q11" i="33" s="1"/>
  <c r="BX11" i="33" s="1"/>
  <c r="Q21" i="24"/>
  <c r="O11" i="33" s="1"/>
  <c r="BV11" i="33" s="1"/>
  <c r="P21" i="24"/>
  <c r="N11" i="33" s="1"/>
  <c r="O21" i="24"/>
  <c r="M11" i="33" s="1"/>
  <c r="N21" i="24"/>
  <c r="L11" i="33" s="1"/>
  <c r="BU11" i="33" s="1"/>
  <c r="M21" i="24"/>
  <c r="K11" i="33" s="1"/>
  <c r="L21" i="24"/>
  <c r="K21" i="24"/>
  <c r="I11" i="35" s="1"/>
  <c r="J21" i="24"/>
  <c r="I21" i="24"/>
  <c r="G11" i="35" s="1"/>
  <c r="H21" i="24"/>
  <c r="G21" i="24"/>
  <c r="E11" i="35" s="1"/>
  <c r="BB22" i="20"/>
  <c r="AZ12" i="34" s="1"/>
  <c r="BA22" i="20"/>
  <c r="AY12" i="34" s="1"/>
  <c r="AZ22" i="20"/>
  <c r="AX12" i="34" s="1"/>
  <c r="AX22" i="20"/>
  <c r="AV12" i="34" s="1"/>
  <c r="AW22" i="20"/>
  <c r="AU12" i="34" s="1"/>
  <c r="AV22" i="20"/>
  <c r="AT12" i="34" s="1"/>
  <c r="AU22" i="20"/>
  <c r="AS12" i="34" s="1"/>
  <c r="AT22" i="20"/>
  <c r="AR12" i="34"/>
  <c r="AS22" i="20"/>
  <c r="AQ12" i="34" s="1"/>
  <c r="AQ22" i="20"/>
  <c r="AO12" i="34"/>
  <c r="AP22" i="20"/>
  <c r="AN12" i="34" s="1"/>
  <c r="AH22" i="20"/>
  <c r="AF12" i="34"/>
  <c r="AF22" i="20"/>
  <c r="AD12" i="34" s="1"/>
  <c r="AE22" i="20"/>
  <c r="AC12" i="34"/>
  <c r="AD22" i="20"/>
  <c r="AB12" i="34" s="1"/>
  <c r="AC22" i="20"/>
  <c r="AA12" i="34"/>
  <c r="AB22" i="20"/>
  <c r="Z12" i="34" s="1"/>
  <c r="AA22" i="20"/>
  <c r="Y12" i="34"/>
  <c r="Z22" i="20"/>
  <c r="X12" i="34" s="1"/>
  <c r="Y22" i="20"/>
  <c r="W12" i="34"/>
  <c r="W22" i="20"/>
  <c r="U12" i="34" s="1"/>
  <c r="V22" i="20"/>
  <c r="T12" i="34"/>
  <c r="T22" i="20"/>
  <c r="R12" i="34" s="1"/>
  <c r="S22" i="20"/>
  <c r="Q12" i="34"/>
  <c r="P22" i="20"/>
  <c r="N12" i="34" s="1"/>
  <c r="O22" i="20"/>
  <c r="M12" i="34"/>
  <c r="N22" i="20"/>
  <c r="L12" i="34" s="1"/>
  <c r="M22" i="20"/>
  <c r="K12" i="34"/>
  <c r="L22" i="20"/>
  <c r="J12" i="34" s="1"/>
  <c r="K22" i="20"/>
  <c r="I12" i="34"/>
  <c r="J22" i="20"/>
  <c r="H12" i="34" s="1"/>
  <c r="I22" i="20"/>
  <c r="G12" i="34"/>
  <c r="H22" i="20"/>
  <c r="F12" i="34" s="1"/>
  <c r="G22" i="20"/>
  <c r="E12" i="34"/>
  <c r="F22" i="20"/>
  <c r="D12" i="34" s="1"/>
  <c r="BB21" i="20"/>
  <c r="AZ12" i="33"/>
  <c r="BA21" i="20"/>
  <c r="AZ21" i="20"/>
  <c r="K12" i="35" s="1"/>
  <c r="AX12" i="33"/>
  <c r="BS12" i="33" s="1"/>
  <c r="AX21" i="20"/>
  <c r="AV12" i="33" s="1"/>
  <c r="AW21" i="20"/>
  <c r="AU12" i="33"/>
  <c r="AV21" i="20"/>
  <c r="AT12" i="33" s="1"/>
  <c r="AU21" i="20"/>
  <c r="AS12" i="33"/>
  <c r="AT21" i="20"/>
  <c r="AR12" i="33" s="1"/>
  <c r="AS21" i="20"/>
  <c r="AQ12" i="33"/>
  <c r="AR21" i="20"/>
  <c r="AP12" i="33" s="1"/>
  <c r="AQ21" i="20"/>
  <c r="AO12" i="33"/>
  <c r="AP21" i="20"/>
  <c r="AN12" i="33" s="1"/>
  <c r="AM21" i="20"/>
  <c r="AK12" i="33"/>
  <c r="AJ21" i="20"/>
  <c r="AH12" i="33" s="1"/>
  <c r="AH21" i="20"/>
  <c r="AF12" i="33"/>
  <c r="AG21" i="20"/>
  <c r="AE12" i="33" s="1"/>
  <c r="AF21" i="20"/>
  <c r="AD12" i="33"/>
  <c r="AE21" i="20"/>
  <c r="AC12" i="33" s="1"/>
  <c r="AD21" i="20"/>
  <c r="AB12" i="33"/>
  <c r="AC21" i="20"/>
  <c r="AA12" i="33" s="1"/>
  <c r="AB21" i="20"/>
  <c r="Z12" i="33"/>
  <c r="AA21" i="20"/>
  <c r="Y12" i="33" s="1"/>
  <c r="Z21" i="20"/>
  <c r="X12" i="33"/>
  <c r="Y21" i="20"/>
  <c r="W12" i="33" s="1"/>
  <c r="W21" i="20"/>
  <c r="U12" i="33"/>
  <c r="BW12" i="33" s="1"/>
  <c r="V21" i="20"/>
  <c r="T12" i="33" s="1"/>
  <c r="U21" i="20"/>
  <c r="S12" i="33"/>
  <c r="T21" i="20"/>
  <c r="R12" i="33" s="1"/>
  <c r="S21" i="20"/>
  <c r="Q12" i="33"/>
  <c r="BX12" i="33" s="1"/>
  <c r="Q21" i="20"/>
  <c r="O12" i="33" s="1"/>
  <c r="BV12" i="33" s="1"/>
  <c r="P21" i="20"/>
  <c r="N12" i="33"/>
  <c r="O21" i="20"/>
  <c r="M12" i="33" s="1"/>
  <c r="N21" i="20"/>
  <c r="L12" i="33"/>
  <c r="BU12" i="33" s="1"/>
  <c r="M21" i="20"/>
  <c r="K12" i="33" s="1"/>
  <c r="L21" i="20"/>
  <c r="J12" i="35" s="1"/>
  <c r="J12" i="33"/>
  <c r="BK12" i="33" s="1"/>
  <c r="K21" i="20"/>
  <c r="J21" i="20"/>
  <c r="H12" i="35" s="1"/>
  <c r="H12" i="33"/>
  <c r="BI12" i="33" s="1"/>
  <c r="I21" i="20"/>
  <c r="H21" i="20"/>
  <c r="F12" i="35" s="1"/>
  <c r="F12" i="33"/>
  <c r="G21" i="20"/>
  <c r="F21" i="20"/>
  <c r="D12" i="35" s="1"/>
  <c r="D12" i="33"/>
  <c r="BB22" i="6"/>
  <c r="AZ13" i="34" s="1"/>
  <c r="BA22" i="6"/>
  <c r="AY13" i="34"/>
  <c r="AZ22" i="6"/>
  <c r="AX13" i="34" s="1"/>
  <c r="AY22" i="6"/>
  <c r="AW13" i="34"/>
  <c r="AX22" i="6"/>
  <c r="AV13" i="34" s="1"/>
  <c r="AW22" i="6"/>
  <c r="AU13" i="34"/>
  <c r="AV22" i="6"/>
  <c r="AT13" i="34" s="1"/>
  <c r="AU22" i="6"/>
  <c r="AS13" i="34"/>
  <c r="AT22" i="6"/>
  <c r="AR13" i="34" s="1"/>
  <c r="AS22" i="6"/>
  <c r="AQ13" i="34"/>
  <c r="AQ22" i="6"/>
  <c r="AO13" i="34" s="1"/>
  <c r="AP22" i="6"/>
  <c r="AN13" i="34"/>
  <c r="AN22" i="6"/>
  <c r="AL13" i="34" s="1"/>
  <c r="AM22" i="6"/>
  <c r="AK13" i="34"/>
  <c r="AL22" i="6"/>
  <c r="AJ13" i="34" s="1"/>
  <c r="AJ22" i="6"/>
  <c r="AH13" i="34"/>
  <c r="AI22" i="6"/>
  <c r="AG13" i="34" s="1"/>
  <c r="AH22" i="6"/>
  <c r="AF13" i="34"/>
  <c r="AG22" i="6"/>
  <c r="AE13" i="34" s="1"/>
  <c r="AF22" i="6"/>
  <c r="AD13" i="34"/>
  <c r="AE22" i="6"/>
  <c r="AC13" i="34" s="1"/>
  <c r="AD22" i="6"/>
  <c r="AB13" i="34"/>
  <c r="AC22" i="6"/>
  <c r="AA13" i="34" s="1"/>
  <c r="AB22" i="6"/>
  <c r="Z13" i="34"/>
  <c r="AA22" i="6"/>
  <c r="Y13" i="34" s="1"/>
  <c r="Z22" i="6"/>
  <c r="X13" i="34"/>
  <c r="Y22" i="6"/>
  <c r="W13" i="34" s="1"/>
  <c r="X22" i="6"/>
  <c r="V13" i="34"/>
  <c r="W22" i="6"/>
  <c r="U13" i="34" s="1"/>
  <c r="V22" i="6"/>
  <c r="T13" i="34"/>
  <c r="U22" i="6"/>
  <c r="S13" i="34" s="1"/>
  <c r="T22" i="6"/>
  <c r="R13" i="34"/>
  <c r="S22" i="6"/>
  <c r="Q13" i="34" s="1"/>
  <c r="R22" i="6"/>
  <c r="P13" i="34"/>
  <c r="Q22" i="6"/>
  <c r="O13" i="34" s="1"/>
  <c r="P22" i="6"/>
  <c r="N13" i="34"/>
  <c r="O22" i="6"/>
  <c r="M13" i="34" s="1"/>
  <c r="N22" i="6"/>
  <c r="L13" i="34"/>
  <c r="M22" i="6"/>
  <c r="K13" i="34" s="1"/>
  <c r="L22" i="6"/>
  <c r="J13" i="34"/>
  <c r="K22" i="6"/>
  <c r="I13" i="34" s="1"/>
  <c r="J22" i="6"/>
  <c r="H13" i="34"/>
  <c r="I22" i="6"/>
  <c r="G13" i="34" s="1"/>
  <c r="H22" i="6"/>
  <c r="F13" i="34"/>
  <c r="G22" i="6"/>
  <c r="E13" i="34" s="1"/>
  <c r="F22" i="6"/>
  <c r="D13" i="34"/>
  <c r="E22" i="6"/>
  <c r="C13" i="34" s="1"/>
  <c r="BB21" i="6"/>
  <c r="AZ13" i="33"/>
  <c r="BA21" i="6"/>
  <c r="AZ21" i="6"/>
  <c r="K13" i="35" s="1"/>
  <c r="AX13" i="33"/>
  <c r="BS13" i="33" s="1"/>
  <c r="AY21" i="6"/>
  <c r="AW13" i="33" s="1"/>
  <c r="AX21" i="6"/>
  <c r="AV13" i="33"/>
  <c r="AW21" i="6"/>
  <c r="AU13" i="33" s="1"/>
  <c r="AV21" i="6"/>
  <c r="AT13" i="33"/>
  <c r="AU21" i="6"/>
  <c r="AS13" i="33" s="1"/>
  <c r="AS21" i="6"/>
  <c r="AQ13" i="33"/>
  <c r="AR21" i="6"/>
  <c r="AP13" i="33" s="1"/>
  <c r="BA13" i="33" s="1"/>
  <c r="AQ21" i="6"/>
  <c r="AO13" i="33"/>
  <c r="AP21" i="6"/>
  <c r="AN13" i="33" s="1"/>
  <c r="AN21" i="6"/>
  <c r="AL13" i="33"/>
  <c r="AM21" i="6"/>
  <c r="AK13" i="33" s="1"/>
  <c r="AJ21" i="6"/>
  <c r="AH13" i="33"/>
  <c r="AI21" i="6"/>
  <c r="AG13" i="33" s="1"/>
  <c r="AH21" i="6"/>
  <c r="AF13" i="33"/>
  <c r="AG21" i="6"/>
  <c r="AE13" i="33" s="1"/>
  <c r="AF21" i="6"/>
  <c r="AD13" i="33"/>
  <c r="AE21" i="6"/>
  <c r="AC13" i="33" s="1"/>
  <c r="AD21" i="6"/>
  <c r="AB13" i="33"/>
  <c r="AC21" i="6"/>
  <c r="AA13" i="33" s="1"/>
  <c r="AB21" i="6"/>
  <c r="Z13" i="33"/>
  <c r="AA21" i="6"/>
  <c r="Y13" i="33" s="1"/>
  <c r="Z21" i="6"/>
  <c r="X13" i="33"/>
  <c r="Y21" i="6"/>
  <c r="W13" i="33" s="1"/>
  <c r="X21" i="6"/>
  <c r="V13" i="33"/>
  <c r="W21" i="6"/>
  <c r="U13" i="33" s="1"/>
  <c r="BW13" i="33" s="1"/>
  <c r="V21" i="6"/>
  <c r="T13" i="33" s="1"/>
  <c r="U21" i="6"/>
  <c r="S13" i="33"/>
  <c r="T21" i="6"/>
  <c r="R13" i="33"/>
  <c r="S21" i="6"/>
  <c r="Q13" i="33"/>
  <c r="BX13" i="33" s="1"/>
  <c r="Q21" i="6"/>
  <c r="O13" i="33"/>
  <c r="BV13" i="33" s="1"/>
  <c r="P21" i="6"/>
  <c r="N13" i="33"/>
  <c r="O21" i="6"/>
  <c r="M13" i="33"/>
  <c r="N21" i="6"/>
  <c r="L13" i="33"/>
  <c r="BU13" i="33" s="1"/>
  <c r="M21" i="6"/>
  <c r="K13" i="33"/>
  <c r="L21" i="6"/>
  <c r="J13" i="35" s="1"/>
  <c r="J13" i="33"/>
  <c r="BK13" i="33" s="1"/>
  <c r="K21" i="6"/>
  <c r="I13" i="35" s="1"/>
  <c r="I13" i="33"/>
  <c r="BJ13" i="33" s="1"/>
  <c r="J21" i="6"/>
  <c r="H13" i="35" s="1"/>
  <c r="H13" i="33"/>
  <c r="BI13" i="33" s="1"/>
  <c r="I21" i="6"/>
  <c r="G13" i="35" s="1"/>
  <c r="G13" i="33"/>
  <c r="BH13" i="33" s="1"/>
  <c r="H21" i="6"/>
  <c r="F13" i="35" s="1"/>
  <c r="F13" i="33"/>
  <c r="G21" i="6"/>
  <c r="E13" i="35" s="1"/>
  <c r="E13" i="33"/>
  <c r="F21" i="6"/>
  <c r="D13" i="35" s="1"/>
  <c r="D13" i="33"/>
  <c r="E21" i="6"/>
  <c r="C13" i="35" s="1"/>
  <c r="C13" i="33"/>
  <c r="BD13" i="33" s="1"/>
  <c r="BB22" i="8"/>
  <c r="AZ14" i="34"/>
  <c r="BA22" i="8"/>
  <c r="AY14" i="34"/>
  <c r="AZ22" i="8"/>
  <c r="AX14" i="34"/>
  <c r="AY22" i="8"/>
  <c r="AW14" i="34"/>
  <c r="AX22" i="8"/>
  <c r="AV14" i="34"/>
  <c r="AW22" i="8"/>
  <c r="AU14" i="34"/>
  <c r="AV22" i="8"/>
  <c r="AT14" i="34"/>
  <c r="AT22" i="8"/>
  <c r="AR14" i="34"/>
  <c r="AS22" i="8"/>
  <c r="AQ14" i="34"/>
  <c r="AQ22" i="8"/>
  <c r="AO14" i="34"/>
  <c r="AP22" i="8"/>
  <c r="AN14" i="34"/>
  <c r="AO22" i="8"/>
  <c r="AM14" i="34"/>
  <c r="AM22" i="8"/>
  <c r="AK14" i="34"/>
  <c r="AL22" i="8"/>
  <c r="AJ14" i="34"/>
  <c r="AJ22" i="8"/>
  <c r="AH14" i="34"/>
  <c r="AI22" i="8"/>
  <c r="AG14" i="34"/>
  <c r="AH22" i="8"/>
  <c r="AF14" i="34"/>
  <c r="AG22" i="8"/>
  <c r="AE14" i="34"/>
  <c r="AF22" i="8"/>
  <c r="AD14" i="34"/>
  <c r="AE22" i="8"/>
  <c r="AC14" i="34"/>
  <c r="AD22" i="8"/>
  <c r="AB14" i="34"/>
  <c r="AC22" i="8"/>
  <c r="AA14" i="34" s="1"/>
  <c r="AB22" i="8"/>
  <c r="Z14" i="34"/>
  <c r="AA22" i="8"/>
  <c r="Y14" i="34" s="1"/>
  <c r="Z22" i="8"/>
  <c r="X14" i="34"/>
  <c r="Y22" i="8"/>
  <c r="W14" i="34" s="1"/>
  <c r="X22" i="8"/>
  <c r="V14" i="34"/>
  <c r="W22" i="8"/>
  <c r="U14" i="34" s="1"/>
  <c r="V22" i="8"/>
  <c r="T14" i="34"/>
  <c r="U22" i="8"/>
  <c r="S14" i="34" s="1"/>
  <c r="T22" i="8"/>
  <c r="R14" i="34"/>
  <c r="S22" i="8"/>
  <c r="Q14" i="34" s="1"/>
  <c r="R22" i="8"/>
  <c r="P14" i="34"/>
  <c r="Q22" i="8"/>
  <c r="O14" i="34" s="1"/>
  <c r="P22" i="8"/>
  <c r="N14" i="34"/>
  <c r="O22" i="8"/>
  <c r="M14" i="34" s="1"/>
  <c r="N22" i="8"/>
  <c r="L14" i="34"/>
  <c r="M22" i="8"/>
  <c r="K14" i="34" s="1"/>
  <c r="L22" i="8"/>
  <c r="J14" i="34"/>
  <c r="K22" i="8"/>
  <c r="I14" i="34" s="1"/>
  <c r="J22" i="8"/>
  <c r="H14" i="34"/>
  <c r="I22" i="8"/>
  <c r="G14" i="34" s="1"/>
  <c r="H22" i="8"/>
  <c r="F14" i="34"/>
  <c r="G22" i="8"/>
  <c r="E14" i="34" s="1"/>
  <c r="F22" i="8"/>
  <c r="D14" i="34"/>
  <c r="E22" i="8"/>
  <c r="C14" i="34" s="1"/>
  <c r="BB21" i="8"/>
  <c r="AZ14" i="33"/>
  <c r="BA21" i="8"/>
  <c r="AZ21" i="8"/>
  <c r="K14" i="35" s="1"/>
  <c r="AX14" i="33"/>
  <c r="BS14" i="33" s="1"/>
  <c r="AY21" i="8"/>
  <c r="AW14" i="33" s="1"/>
  <c r="AX21" i="8"/>
  <c r="AV14" i="33"/>
  <c r="AW21" i="8"/>
  <c r="AU14" i="33" s="1"/>
  <c r="AV21" i="8"/>
  <c r="AT14" i="33"/>
  <c r="BB14" i="33" s="1"/>
  <c r="AS21" i="8"/>
  <c r="AQ14" i="33" s="1"/>
  <c r="AR21" i="8"/>
  <c r="AP14" i="33"/>
  <c r="AQ21" i="8"/>
  <c r="AO14" i="33" s="1"/>
  <c r="AP21" i="8"/>
  <c r="AN14" i="33"/>
  <c r="AO21" i="8"/>
  <c r="AM14" i="33"/>
  <c r="AN21" i="8"/>
  <c r="AL14" i="33"/>
  <c r="AM21" i="8"/>
  <c r="AK14" i="33"/>
  <c r="AJ21" i="8"/>
  <c r="AH14" i="33"/>
  <c r="AI21" i="8"/>
  <c r="AG14" i="33"/>
  <c r="AH21" i="8"/>
  <c r="AF14" i="33"/>
  <c r="AG21" i="8"/>
  <c r="AE14" i="33"/>
  <c r="AF21" i="8"/>
  <c r="AD14" i="33"/>
  <c r="AE21" i="8"/>
  <c r="AC14" i="33"/>
  <c r="AD21" i="8"/>
  <c r="AB14" i="33"/>
  <c r="AC21" i="8"/>
  <c r="AA14" i="33"/>
  <c r="AB21" i="8"/>
  <c r="Z14" i="33"/>
  <c r="AA21" i="8"/>
  <c r="Y14" i="33" s="1"/>
  <c r="Z21" i="8"/>
  <c r="X14" i="33" s="1"/>
  <c r="Y21" i="8"/>
  <c r="W14" i="33"/>
  <c r="X21" i="8"/>
  <c r="V14" i="33" s="1"/>
  <c r="W21" i="8"/>
  <c r="U14" i="33"/>
  <c r="BW14" i="33" s="1"/>
  <c r="V21" i="8"/>
  <c r="T14" i="33" s="1"/>
  <c r="U21" i="8"/>
  <c r="S14" i="33"/>
  <c r="T21" i="8"/>
  <c r="R14" i="33" s="1"/>
  <c r="S21" i="8"/>
  <c r="Q14" i="33"/>
  <c r="BX14" i="33" s="1"/>
  <c r="Q21" i="8"/>
  <c r="O14" i="33" s="1"/>
  <c r="BV14" i="33" s="1"/>
  <c r="P21" i="8"/>
  <c r="N14" i="33"/>
  <c r="O21" i="8"/>
  <c r="M14" i="33" s="1"/>
  <c r="N21" i="8"/>
  <c r="L14" i="33"/>
  <c r="BU14" i="33" s="1"/>
  <c r="M21" i="8"/>
  <c r="K14" i="33" s="1"/>
  <c r="L21" i="8"/>
  <c r="J14" i="35" s="1"/>
  <c r="J14" i="33"/>
  <c r="BK14" i="33" s="1"/>
  <c r="K21" i="8"/>
  <c r="J21" i="8"/>
  <c r="H14" i="35" s="1"/>
  <c r="H14" i="33"/>
  <c r="BI14" i="33" s="1"/>
  <c r="I21" i="8"/>
  <c r="H21" i="8"/>
  <c r="F14" i="35" s="1"/>
  <c r="F14" i="33"/>
  <c r="G21" i="8"/>
  <c r="F21" i="8"/>
  <c r="D14" i="35" s="1"/>
  <c r="D14" i="33"/>
  <c r="E21" i="8"/>
  <c r="BB22" i="19"/>
  <c r="AZ15" i="34"/>
  <c r="BA22" i="19"/>
  <c r="AY15" i="34" s="1"/>
  <c r="AZ22" i="19"/>
  <c r="AX15" i="34"/>
  <c r="AY22" i="19"/>
  <c r="AW15" i="34" s="1"/>
  <c r="AX22" i="19"/>
  <c r="AV15" i="34"/>
  <c r="AW22" i="19"/>
  <c r="AU15" i="34" s="1"/>
  <c r="AV22" i="19"/>
  <c r="AT15" i="34"/>
  <c r="AU22" i="19"/>
  <c r="AS15" i="34" s="1"/>
  <c r="AT22" i="19"/>
  <c r="AR15" i="34"/>
  <c r="AS22" i="19"/>
  <c r="AQ15" i="34" s="1"/>
  <c r="AR22" i="19"/>
  <c r="AP15" i="34"/>
  <c r="AQ22" i="19"/>
  <c r="AO15" i="34" s="1"/>
  <c r="AP22" i="19"/>
  <c r="AN15" i="34"/>
  <c r="AM22" i="19"/>
  <c r="AK15" i="34" s="1"/>
  <c r="AH22" i="19"/>
  <c r="AF15" i="34"/>
  <c r="AF22" i="19"/>
  <c r="AD15" i="34" s="1"/>
  <c r="AE22" i="19"/>
  <c r="AC15" i="34"/>
  <c r="AC22" i="19"/>
  <c r="AA15" i="34" s="1"/>
  <c r="AA22" i="19"/>
  <c r="Y15" i="34"/>
  <c r="Z22" i="19"/>
  <c r="X15" i="34" s="1"/>
  <c r="Y22" i="19"/>
  <c r="W15" i="34"/>
  <c r="W22" i="19"/>
  <c r="U15" i="34" s="1"/>
  <c r="V22" i="19"/>
  <c r="T15" i="34"/>
  <c r="U22" i="19"/>
  <c r="S15" i="34" s="1"/>
  <c r="T22" i="19"/>
  <c r="R15" i="34"/>
  <c r="S22" i="19"/>
  <c r="Q15" i="34" s="1"/>
  <c r="R22" i="19"/>
  <c r="P15" i="34"/>
  <c r="P22" i="19"/>
  <c r="N15" i="34" s="1"/>
  <c r="O22" i="19"/>
  <c r="M15" i="34"/>
  <c r="M22" i="19"/>
  <c r="K15" i="34" s="1"/>
  <c r="L22" i="19"/>
  <c r="J15" i="34"/>
  <c r="K22" i="19"/>
  <c r="I15" i="34" s="1"/>
  <c r="I22" i="19"/>
  <c r="G15" i="34"/>
  <c r="G22" i="19"/>
  <c r="E15" i="34" s="1"/>
  <c r="F22" i="19"/>
  <c r="D15" i="34"/>
  <c r="BB21" i="19"/>
  <c r="AZ15" i="33" s="1"/>
  <c r="BA21" i="19"/>
  <c r="L15" i="35" s="1"/>
  <c r="AY15" i="33"/>
  <c r="BT15" i="33" s="1"/>
  <c r="AZ21" i="19"/>
  <c r="AY21" i="19"/>
  <c r="AW15" i="33"/>
  <c r="AX21" i="19"/>
  <c r="AV15" i="33" s="1"/>
  <c r="AW21" i="19"/>
  <c r="AU15" i="33"/>
  <c r="AV21" i="19"/>
  <c r="AT15" i="33" s="1"/>
  <c r="AU21" i="19"/>
  <c r="AS15" i="33"/>
  <c r="AT21" i="19"/>
  <c r="AR15" i="33" s="1"/>
  <c r="AS21" i="19"/>
  <c r="AQ15" i="33"/>
  <c r="AR21" i="19"/>
  <c r="AP15" i="33" s="1"/>
  <c r="AQ21" i="19"/>
  <c r="AO15" i="33"/>
  <c r="AP21" i="19"/>
  <c r="AN15" i="33" s="1"/>
  <c r="AM21" i="19"/>
  <c r="AK15" i="33"/>
  <c r="AI21" i="19"/>
  <c r="AG15" i="33" s="1"/>
  <c r="AH21" i="19"/>
  <c r="AF15" i="33"/>
  <c r="AF21" i="19"/>
  <c r="AD15" i="33" s="1"/>
  <c r="AE21" i="19"/>
  <c r="AC15" i="33"/>
  <c r="AC21" i="19"/>
  <c r="AA15" i="33" s="1"/>
  <c r="AA21" i="19"/>
  <c r="Y15" i="33"/>
  <c r="Z21" i="19"/>
  <c r="X15" i="33" s="1"/>
  <c r="Y21" i="19"/>
  <c r="W15" i="33"/>
  <c r="W21" i="19"/>
  <c r="U15" i="33" s="1"/>
  <c r="BW15" i="33" s="1"/>
  <c r="V21" i="19"/>
  <c r="T15" i="33"/>
  <c r="U21" i="19"/>
  <c r="S15" i="33" s="1"/>
  <c r="T21" i="19"/>
  <c r="R15" i="33"/>
  <c r="S21" i="19"/>
  <c r="Q15" i="33" s="1"/>
  <c r="BX15" i="33" s="1"/>
  <c r="P21" i="19"/>
  <c r="N15" i="33"/>
  <c r="O21" i="19"/>
  <c r="M15" i="33" s="1"/>
  <c r="N21" i="19"/>
  <c r="L15" i="33"/>
  <c r="BU15" i="33" s="1"/>
  <c r="M21" i="19"/>
  <c r="K15" i="33" s="1"/>
  <c r="L21" i="19"/>
  <c r="J15" i="35" s="1"/>
  <c r="J15" i="33"/>
  <c r="BK15" i="33" s="1"/>
  <c r="K21" i="19"/>
  <c r="J21" i="19"/>
  <c r="H15" i="35" s="1"/>
  <c r="H15" i="33"/>
  <c r="BI15" i="33" s="1"/>
  <c r="I21" i="19"/>
  <c r="G21" i="19"/>
  <c r="E15" i="35" s="1"/>
  <c r="E15" i="33"/>
  <c r="F21" i="19"/>
  <c r="BB22" i="27"/>
  <c r="AZ16" i="34"/>
  <c r="BA22" i="27"/>
  <c r="AY16" i="34" s="1"/>
  <c r="AZ22" i="27"/>
  <c r="AX16" i="34"/>
  <c r="AY22" i="27"/>
  <c r="AW16" i="34" s="1"/>
  <c r="AX22" i="27"/>
  <c r="AV16" i="34"/>
  <c r="AW22" i="27"/>
  <c r="AU16" i="34" s="1"/>
  <c r="AV22" i="27"/>
  <c r="AT16" i="34"/>
  <c r="AU22" i="27"/>
  <c r="AS16" i="34" s="1"/>
  <c r="AT22" i="27"/>
  <c r="AR16" i="34"/>
  <c r="AS22" i="27"/>
  <c r="AQ16" i="34" s="1"/>
  <c r="AR22" i="27"/>
  <c r="AP16" i="34"/>
  <c r="AQ22" i="27"/>
  <c r="AO16" i="34" s="1"/>
  <c r="AP22" i="27"/>
  <c r="AN16" i="34"/>
  <c r="AN22" i="27"/>
  <c r="AL16" i="34" s="1"/>
  <c r="AM22" i="27"/>
  <c r="AK16" i="34"/>
  <c r="AI22" i="27"/>
  <c r="AG16" i="34" s="1"/>
  <c r="AE22" i="27"/>
  <c r="AC16" i="34"/>
  <c r="AB22" i="27"/>
  <c r="Z16" i="34" s="1"/>
  <c r="AA22" i="27"/>
  <c r="Y16" i="34"/>
  <c r="Z22" i="27"/>
  <c r="X16" i="34" s="1"/>
  <c r="Y22" i="27"/>
  <c r="W16" i="34"/>
  <c r="W22" i="27"/>
  <c r="U16" i="34" s="1"/>
  <c r="V22" i="27"/>
  <c r="T16" i="34"/>
  <c r="U22" i="27"/>
  <c r="S16" i="34" s="1"/>
  <c r="T22" i="27"/>
  <c r="R16" i="34"/>
  <c r="S22" i="27"/>
  <c r="Q16" i="34" s="1"/>
  <c r="Q22" i="27"/>
  <c r="O16" i="34"/>
  <c r="P22" i="27"/>
  <c r="N16" i="34" s="1"/>
  <c r="O22" i="27"/>
  <c r="M16" i="34"/>
  <c r="N22" i="27"/>
  <c r="L16" i="34" s="1"/>
  <c r="M22" i="27"/>
  <c r="K16" i="34"/>
  <c r="L22" i="27"/>
  <c r="J16" i="34" s="1"/>
  <c r="K22" i="27"/>
  <c r="I16" i="34"/>
  <c r="J22" i="27"/>
  <c r="H16" i="34" s="1"/>
  <c r="I22" i="27"/>
  <c r="G16" i="34"/>
  <c r="H22" i="27"/>
  <c r="F16" i="34" s="1"/>
  <c r="G22" i="27"/>
  <c r="E16" i="34"/>
  <c r="F22" i="27"/>
  <c r="D16" i="34" s="1"/>
  <c r="E22" i="27"/>
  <c r="C16" i="34"/>
  <c r="BB21" i="27"/>
  <c r="AZ16" i="33" s="1"/>
  <c r="BA21" i="27"/>
  <c r="L16" i="35" s="1"/>
  <c r="AY16" i="33"/>
  <c r="BT16" i="33" s="1"/>
  <c r="AZ21" i="27"/>
  <c r="AY21" i="27"/>
  <c r="AW16" i="33"/>
  <c r="AX21" i="27"/>
  <c r="AV16" i="33" s="1"/>
  <c r="AW21" i="27"/>
  <c r="AU16" i="33"/>
  <c r="AV21" i="27"/>
  <c r="AT16" i="33" s="1"/>
  <c r="AU21" i="27"/>
  <c r="AS16" i="33"/>
  <c r="AT21" i="27"/>
  <c r="AR16" i="33" s="1"/>
  <c r="AS21" i="27"/>
  <c r="AQ16" i="33"/>
  <c r="AR21" i="27"/>
  <c r="AP16" i="33" s="1"/>
  <c r="AQ21" i="27"/>
  <c r="AO16" i="33"/>
  <c r="AP21" i="27"/>
  <c r="AN16" i="33" s="1"/>
  <c r="AO21" i="27"/>
  <c r="AM16" i="33"/>
  <c r="AN21" i="27"/>
  <c r="AL16" i="33" s="1"/>
  <c r="AM21" i="27"/>
  <c r="AK16" i="33"/>
  <c r="AL21" i="27"/>
  <c r="AJ16" i="33" s="1"/>
  <c r="AK21" i="27"/>
  <c r="AI16" i="33"/>
  <c r="AJ21" i="27"/>
  <c r="AH16" i="33" s="1"/>
  <c r="AI21" i="27"/>
  <c r="AG16" i="33"/>
  <c r="AH21" i="27"/>
  <c r="AF16" i="33" s="1"/>
  <c r="AG21" i="27"/>
  <c r="AE16" i="33"/>
  <c r="AF21" i="27"/>
  <c r="AD16" i="33" s="1"/>
  <c r="AE21" i="27"/>
  <c r="AC16" i="33"/>
  <c r="AD21" i="27"/>
  <c r="AB16" i="33" s="1"/>
  <c r="AC21" i="27"/>
  <c r="AA16" i="33"/>
  <c r="AB21" i="27"/>
  <c r="Z16" i="33" s="1"/>
  <c r="AA21" i="27"/>
  <c r="Y16" i="33"/>
  <c r="Z21" i="27"/>
  <c r="X16" i="33" s="1"/>
  <c r="Y21" i="27"/>
  <c r="W16" i="33"/>
  <c r="X21" i="27"/>
  <c r="V16" i="33" s="1"/>
  <c r="W21" i="27"/>
  <c r="U16" i="33"/>
  <c r="BW16" i="33" s="1"/>
  <c r="V21" i="27"/>
  <c r="T16" i="33" s="1"/>
  <c r="U21" i="27"/>
  <c r="S16" i="33"/>
  <c r="T21" i="27"/>
  <c r="R16" i="33" s="1"/>
  <c r="S21" i="27"/>
  <c r="Q16" i="33"/>
  <c r="BX16" i="33" s="1"/>
  <c r="R21" i="27"/>
  <c r="P16" i="33" s="1"/>
  <c r="Q21" i="27"/>
  <c r="O16" i="33"/>
  <c r="BV16" i="33" s="1"/>
  <c r="P21" i="27"/>
  <c r="N16" i="33" s="1"/>
  <c r="O21" i="27"/>
  <c r="M16" i="33"/>
  <c r="N21" i="27"/>
  <c r="L16" i="33" s="1"/>
  <c r="BU16" i="33" s="1"/>
  <c r="M21" i="27"/>
  <c r="K16" i="33"/>
  <c r="L21" i="27"/>
  <c r="K21" i="27"/>
  <c r="I16" i="35" s="1"/>
  <c r="I16" i="33"/>
  <c r="BJ16" i="33" s="1"/>
  <c r="J21" i="27"/>
  <c r="I21" i="27"/>
  <c r="G16" i="35" s="1"/>
  <c r="G16" i="33"/>
  <c r="BH16" i="33" s="1"/>
  <c r="H21" i="27"/>
  <c r="G21" i="27"/>
  <c r="E16" i="35" s="1"/>
  <c r="E16" i="33"/>
  <c r="F21" i="27"/>
  <c r="E21" i="27"/>
  <c r="C16" i="35" s="1"/>
  <c r="C16" i="33"/>
  <c r="BD16" i="33" s="1"/>
  <c r="BB22" i="28"/>
  <c r="AZ17" i="34" s="1"/>
  <c r="BA22" i="28"/>
  <c r="AY17" i="34"/>
  <c r="AZ22" i="28"/>
  <c r="AX17" i="34" s="1"/>
  <c r="AY22" i="28"/>
  <c r="AW17" i="34"/>
  <c r="AX22" i="28"/>
  <c r="AV17" i="34" s="1"/>
  <c r="AW22" i="28"/>
  <c r="AU17" i="34"/>
  <c r="AV22" i="28"/>
  <c r="AT17" i="34" s="1"/>
  <c r="AU22" i="28"/>
  <c r="AS17" i="34"/>
  <c r="AT22" i="28"/>
  <c r="AR17" i="34" s="1"/>
  <c r="AS22" i="28"/>
  <c r="AQ17" i="34"/>
  <c r="AR22" i="28"/>
  <c r="AP17" i="34" s="1"/>
  <c r="AQ22" i="28"/>
  <c r="AO17" i="34"/>
  <c r="AP22" i="28"/>
  <c r="AN17" i="34" s="1"/>
  <c r="AN22" i="28"/>
  <c r="AL17" i="34"/>
  <c r="AM22" i="28"/>
  <c r="AK17" i="34" s="1"/>
  <c r="AJ22" i="28"/>
  <c r="AH17" i="34"/>
  <c r="AI22" i="28"/>
  <c r="AG17" i="34" s="1"/>
  <c r="AH22" i="28"/>
  <c r="AF17" i="34"/>
  <c r="AG22" i="28"/>
  <c r="AE17" i="34" s="1"/>
  <c r="AF22" i="28"/>
  <c r="AD17" i="34"/>
  <c r="AE22" i="28"/>
  <c r="AC17" i="34" s="1"/>
  <c r="AD22" i="28"/>
  <c r="AB17" i="34"/>
  <c r="AC22" i="28"/>
  <c r="AA17" i="34" s="1"/>
  <c r="AB22" i="28"/>
  <c r="Z17" i="34"/>
  <c r="AA22" i="28"/>
  <c r="Y17" i="34" s="1"/>
  <c r="Z22" i="28"/>
  <c r="X17" i="34"/>
  <c r="Y22" i="28"/>
  <c r="W17" i="34" s="1"/>
  <c r="X22" i="28"/>
  <c r="V17" i="34"/>
  <c r="W22" i="28"/>
  <c r="U17" i="34" s="1"/>
  <c r="V22" i="28"/>
  <c r="T17" i="34"/>
  <c r="U22" i="28"/>
  <c r="S17" i="34" s="1"/>
  <c r="T22" i="28"/>
  <c r="R17" i="34"/>
  <c r="S22" i="28"/>
  <c r="Q17" i="34" s="1"/>
  <c r="Q22" i="28"/>
  <c r="O17" i="34"/>
  <c r="P22" i="28"/>
  <c r="N17" i="34" s="1"/>
  <c r="O22" i="28"/>
  <c r="M17" i="34"/>
  <c r="N22" i="28"/>
  <c r="L17" i="34" s="1"/>
  <c r="M22" i="28"/>
  <c r="K17" i="34"/>
  <c r="L22" i="28"/>
  <c r="J17" i="34" s="1"/>
  <c r="K22" i="28"/>
  <c r="I17" i="34"/>
  <c r="J22" i="28"/>
  <c r="H17" i="34" s="1"/>
  <c r="I22" i="28"/>
  <c r="G17" i="34"/>
  <c r="H22" i="28"/>
  <c r="F17" i="34" s="1"/>
  <c r="G22" i="28"/>
  <c r="E17" i="34"/>
  <c r="F22" i="28"/>
  <c r="D17" i="34" s="1"/>
  <c r="BB21" i="28"/>
  <c r="AZ17" i="33"/>
  <c r="BA21" i="28"/>
  <c r="AZ21" i="28"/>
  <c r="K17" i="35" s="1"/>
  <c r="AX17" i="33"/>
  <c r="BS17" i="33" s="1"/>
  <c r="AY21" i="28"/>
  <c r="AW17" i="33" s="1"/>
  <c r="AX21" i="28"/>
  <c r="AV17" i="33"/>
  <c r="AW21" i="28"/>
  <c r="AU17" i="33" s="1"/>
  <c r="AV21" i="28"/>
  <c r="AT17" i="33"/>
  <c r="AU21" i="28"/>
  <c r="AS17" i="33" s="1"/>
  <c r="AT21" i="28"/>
  <c r="AR17" i="33"/>
  <c r="AS21" i="28"/>
  <c r="AQ17" i="33" s="1"/>
  <c r="AQ21" i="28"/>
  <c r="AO17" i="33"/>
  <c r="AP21" i="28"/>
  <c r="AN17" i="33" s="1"/>
  <c r="AM21" i="28"/>
  <c r="AK17" i="33"/>
  <c r="AL21" i="28"/>
  <c r="AJ17" i="33" s="1"/>
  <c r="AJ21" i="28"/>
  <c r="AH17" i="33"/>
  <c r="AI21" i="28"/>
  <c r="AG17" i="33" s="1"/>
  <c r="AH21" i="28"/>
  <c r="AF17" i="33"/>
  <c r="AG21" i="28"/>
  <c r="AE17" i="33" s="1"/>
  <c r="AF21" i="28"/>
  <c r="AD17" i="33"/>
  <c r="AE21" i="28"/>
  <c r="AC17" i="33" s="1"/>
  <c r="AD21" i="28"/>
  <c r="AB17" i="33"/>
  <c r="AC21" i="28"/>
  <c r="AA17" i="33" s="1"/>
  <c r="AB21" i="28"/>
  <c r="Z17" i="33"/>
  <c r="AA21" i="28"/>
  <c r="Y17" i="33" s="1"/>
  <c r="Z21" i="28"/>
  <c r="X17" i="33"/>
  <c r="Y21" i="28"/>
  <c r="W17" i="33" s="1"/>
  <c r="X21" i="28"/>
  <c r="V17" i="33"/>
  <c r="W21" i="28"/>
  <c r="U17" i="33" s="1"/>
  <c r="BW17" i="33" s="1"/>
  <c r="V21" i="28"/>
  <c r="T17" i="33"/>
  <c r="U21" i="28"/>
  <c r="S17" i="33" s="1"/>
  <c r="T21" i="28"/>
  <c r="R17" i="33"/>
  <c r="S21" i="28"/>
  <c r="Q17" i="33" s="1"/>
  <c r="BX17" i="33" s="1"/>
  <c r="R21" i="28"/>
  <c r="P17" i="33"/>
  <c r="Q21" i="28"/>
  <c r="O17" i="33" s="1"/>
  <c r="BV17" i="33" s="1"/>
  <c r="P21" i="28"/>
  <c r="N17" i="33"/>
  <c r="O21" i="28"/>
  <c r="M17" i="33" s="1"/>
  <c r="N21" i="28"/>
  <c r="L17" i="33"/>
  <c r="BU17" i="33" s="1"/>
  <c r="M21" i="28"/>
  <c r="K17" i="33" s="1"/>
  <c r="L21" i="28"/>
  <c r="J17" i="35" s="1"/>
  <c r="J17" i="33"/>
  <c r="BK17" i="33" s="1"/>
  <c r="K21" i="28"/>
  <c r="I17" i="35" s="1"/>
  <c r="J21" i="28"/>
  <c r="H17" i="35" s="1"/>
  <c r="H17" i="33"/>
  <c r="BI17" i="33" s="1"/>
  <c r="I21" i="28"/>
  <c r="G17" i="35" s="1"/>
  <c r="H21" i="28"/>
  <c r="F17" i="35" s="1"/>
  <c r="F17" i="33"/>
  <c r="G21" i="28"/>
  <c r="F21" i="28"/>
  <c r="BB22" i="26"/>
  <c r="AZ18" i="34"/>
  <c r="BA22" i="26"/>
  <c r="AY18" i="34" s="1"/>
  <c r="AZ22" i="26"/>
  <c r="AX18" i="34"/>
  <c r="AY22" i="26"/>
  <c r="AW18" i="34" s="1"/>
  <c r="AX22" i="26"/>
  <c r="AV18" i="34"/>
  <c r="AW22" i="26"/>
  <c r="AU18" i="34" s="1"/>
  <c r="AV22" i="26"/>
  <c r="AT18" i="34"/>
  <c r="AU22" i="26"/>
  <c r="AS18" i="34" s="1"/>
  <c r="AT22" i="26"/>
  <c r="AR18" i="34"/>
  <c r="AS22" i="26"/>
  <c r="AQ18" i="34" s="1"/>
  <c r="AR22" i="26"/>
  <c r="AP18" i="34"/>
  <c r="AQ22" i="26"/>
  <c r="AO18" i="34" s="1"/>
  <c r="AP22" i="26"/>
  <c r="AN18" i="34"/>
  <c r="AN22" i="26"/>
  <c r="AL18" i="34" s="1"/>
  <c r="AM22" i="26"/>
  <c r="AK18" i="34"/>
  <c r="AJ22" i="26"/>
  <c r="AH18" i="34" s="1"/>
  <c r="AI22" i="26"/>
  <c r="AG18" i="34"/>
  <c r="AH22" i="26"/>
  <c r="AF18" i="34" s="1"/>
  <c r="AG22" i="26"/>
  <c r="AE18" i="34"/>
  <c r="AF22" i="26"/>
  <c r="AD18" i="34" s="1"/>
  <c r="AE22" i="26"/>
  <c r="AC18" i="34"/>
  <c r="AD22" i="26"/>
  <c r="AB18" i="34" s="1"/>
  <c r="AC22" i="26"/>
  <c r="AA18" i="34"/>
  <c r="AB22" i="26"/>
  <c r="Z18" i="34" s="1"/>
  <c r="AA22" i="26"/>
  <c r="Y18" i="34"/>
  <c r="Z22" i="26"/>
  <c r="X18" i="34" s="1"/>
  <c r="Y22" i="26"/>
  <c r="W18" i="34"/>
  <c r="X22" i="26"/>
  <c r="V18" i="34" s="1"/>
  <c r="W22" i="26"/>
  <c r="U18" i="34"/>
  <c r="V22" i="26"/>
  <c r="T18" i="34" s="1"/>
  <c r="U22" i="26"/>
  <c r="S18" i="34"/>
  <c r="T22" i="26"/>
  <c r="R18" i="34" s="1"/>
  <c r="S22" i="26"/>
  <c r="Q18" i="34"/>
  <c r="Q22" i="26"/>
  <c r="O18" i="34" s="1"/>
  <c r="P22" i="26"/>
  <c r="N18" i="34"/>
  <c r="O22" i="26"/>
  <c r="M18" i="34" s="1"/>
  <c r="N22" i="26"/>
  <c r="L18" i="34"/>
  <c r="M22" i="26"/>
  <c r="K18" i="34" s="1"/>
  <c r="L22" i="26"/>
  <c r="J18" i="34"/>
  <c r="K22" i="26"/>
  <c r="I18" i="34"/>
  <c r="J22" i="26"/>
  <c r="H18" i="34"/>
  <c r="I22" i="26"/>
  <c r="G18" i="34"/>
  <c r="H22" i="26"/>
  <c r="F18" i="34"/>
  <c r="G22" i="26"/>
  <c r="E18" i="34"/>
  <c r="F22" i="26"/>
  <c r="D18" i="34"/>
  <c r="BB21" i="26"/>
  <c r="AZ18" i="33"/>
  <c r="BA21" i="26"/>
  <c r="L18" i="35" s="1"/>
  <c r="AY18" i="33"/>
  <c r="BT18" i="33" s="1"/>
  <c r="AZ21" i="26"/>
  <c r="K18" i="35" s="1"/>
  <c r="AX18" i="33"/>
  <c r="BS18" i="33" s="1"/>
  <c r="AY21" i="26"/>
  <c r="AW18" i="33" s="1"/>
  <c r="AX21" i="26"/>
  <c r="AV18" i="33"/>
  <c r="AW21" i="26"/>
  <c r="AU18" i="33" s="1"/>
  <c r="AV21" i="26"/>
  <c r="AT18" i="33"/>
  <c r="AU21" i="26"/>
  <c r="AS18" i="33" s="1"/>
  <c r="AT21" i="26"/>
  <c r="AR18" i="33"/>
  <c r="AS21" i="26"/>
  <c r="AQ18" i="33" s="1"/>
  <c r="AR21" i="26"/>
  <c r="AP18" i="33"/>
  <c r="BA18" i="33" s="1"/>
  <c r="AQ21" i="26"/>
  <c r="AO18" i="33" s="1"/>
  <c r="AP21" i="26"/>
  <c r="AN18" i="33"/>
  <c r="AM21" i="26"/>
  <c r="AK18" i="33" s="1"/>
  <c r="AL21" i="26"/>
  <c r="AJ18" i="33"/>
  <c r="AJ21" i="26"/>
  <c r="AH18" i="33" s="1"/>
  <c r="AI21" i="26"/>
  <c r="AG18" i="33"/>
  <c r="AH21" i="26"/>
  <c r="AF18" i="33" s="1"/>
  <c r="AG21" i="26"/>
  <c r="AE18" i="33"/>
  <c r="AF21" i="26"/>
  <c r="AD18" i="33" s="1"/>
  <c r="AE21" i="26"/>
  <c r="AC18" i="33"/>
  <c r="AD21" i="26"/>
  <c r="AB18" i="33" s="1"/>
  <c r="AC21" i="26"/>
  <c r="AA18" i="33"/>
  <c r="AB21" i="26"/>
  <c r="Z18" i="33" s="1"/>
  <c r="AA21" i="26"/>
  <c r="Y18" i="33"/>
  <c r="Z21" i="26"/>
  <c r="X18" i="33" s="1"/>
  <c r="Y21" i="26"/>
  <c r="W18" i="33"/>
  <c r="X21" i="26"/>
  <c r="V18" i="33" s="1"/>
  <c r="W21" i="26"/>
  <c r="U18" i="33"/>
  <c r="BW18" i="33" s="1"/>
  <c r="V21" i="26"/>
  <c r="T18" i="33" s="1"/>
  <c r="U21" i="26"/>
  <c r="S18" i="33" s="1"/>
  <c r="T21" i="26"/>
  <c r="R18" i="33" s="1"/>
  <c r="S21" i="26"/>
  <c r="Q18" i="33"/>
  <c r="BX18" i="33" s="1"/>
  <c r="R21" i="26"/>
  <c r="P18" i="33" s="1"/>
  <c r="Q21" i="26"/>
  <c r="O18" i="33"/>
  <c r="BV18" i="33" s="1"/>
  <c r="P21" i="26"/>
  <c r="N18" i="33" s="1"/>
  <c r="O21" i="26"/>
  <c r="M18" i="33"/>
  <c r="N21" i="26"/>
  <c r="L18" i="33" s="1"/>
  <c r="BU18" i="33" s="1"/>
  <c r="M21" i="26"/>
  <c r="K18" i="33"/>
  <c r="L21" i="26"/>
  <c r="J18" i="35" s="1"/>
  <c r="K21" i="26"/>
  <c r="I18" i="35" s="1"/>
  <c r="I18" i="33"/>
  <c r="BJ18" i="33" s="1"/>
  <c r="J21" i="26"/>
  <c r="H18" i="35" s="1"/>
  <c r="I21" i="26"/>
  <c r="G18" i="35" s="1"/>
  <c r="G18" i="33"/>
  <c r="BH18" i="33" s="1"/>
  <c r="H21" i="26"/>
  <c r="F18" i="35" s="1"/>
  <c r="G21" i="26"/>
  <c r="E18" i="35" s="1"/>
  <c r="E18" i="33"/>
  <c r="F21" i="26"/>
  <c r="D18" i="35" s="1"/>
  <c r="BB22" i="14"/>
  <c r="AZ19" i="34"/>
  <c r="BA22" i="14"/>
  <c r="AY19" i="34" s="1"/>
  <c r="AZ22" i="14"/>
  <c r="AX19" i="34"/>
  <c r="AY22" i="14"/>
  <c r="AW19" i="34" s="1"/>
  <c r="AX22" i="14"/>
  <c r="AV19" i="34"/>
  <c r="AW22" i="14"/>
  <c r="AU19" i="34" s="1"/>
  <c r="AV22" i="14"/>
  <c r="AT19" i="34"/>
  <c r="AU22" i="14"/>
  <c r="AS19" i="34" s="1"/>
  <c r="AT22" i="14"/>
  <c r="AR19" i="34"/>
  <c r="AS22" i="14"/>
  <c r="AQ19" i="34" s="1"/>
  <c r="AQ22" i="14"/>
  <c r="AO19" i="34"/>
  <c r="AP22" i="14"/>
  <c r="AN19" i="34" s="1"/>
  <c r="AM22" i="14"/>
  <c r="AK19" i="34"/>
  <c r="AL22" i="14"/>
  <c r="AJ19" i="34" s="1"/>
  <c r="AK22" i="14"/>
  <c r="AI19" i="34"/>
  <c r="AJ22" i="14"/>
  <c r="AH19" i="34" s="1"/>
  <c r="AI22" i="14"/>
  <c r="AG19" i="34"/>
  <c r="AH22" i="14"/>
  <c r="AF19" i="34" s="1"/>
  <c r="AG22" i="14"/>
  <c r="AE19" i="34"/>
  <c r="AF22" i="14"/>
  <c r="AD19" i="34" s="1"/>
  <c r="AE22" i="14"/>
  <c r="AC19" i="34"/>
  <c r="AD22" i="14"/>
  <c r="AB19" i="34" s="1"/>
  <c r="AC22" i="14"/>
  <c r="AA19" i="34"/>
  <c r="AB22" i="14"/>
  <c r="Z19" i="34" s="1"/>
  <c r="AA22" i="14"/>
  <c r="Y19" i="34"/>
  <c r="Z22" i="14"/>
  <c r="X19" i="34" s="1"/>
  <c r="Y22" i="14"/>
  <c r="W19" i="34"/>
  <c r="X22" i="14"/>
  <c r="V19" i="34" s="1"/>
  <c r="W22" i="14"/>
  <c r="U19" i="34"/>
  <c r="V22" i="14"/>
  <c r="T19" i="34" s="1"/>
  <c r="U22" i="14"/>
  <c r="S19" i="34"/>
  <c r="T22" i="14"/>
  <c r="R19" i="34" s="1"/>
  <c r="S22" i="14"/>
  <c r="Q19" i="34"/>
  <c r="P22" i="14"/>
  <c r="N19" i="34" s="1"/>
  <c r="O22" i="14"/>
  <c r="M19" i="34"/>
  <c r="N22" i="14"/>
  <c r="L19" i="34" s="1"/>
  <c r="M22" i="14"/>
  <c r="K19" i="34"/>
  <c r="K22" i="14"/>
  <c r="I19" i="34" s="1"/>
  <c r="J22" i="14"/>
  <c r="H19" i="34"/>
  <c r="I22" i="14"/>
  <c r="G19" i="34" s="1"/>
  <c r="H22" i="14"/>
  <c r="F19" i="34"/>
  <c r="G22" i="14"/>
  <c r="E19" i="34" s="1"/>
  <c r="F22" i="14"/>
  <c r="D19" i="34"/>
  <c r="BB21" i="14"/>
  <c r="AZ19" i="33" s="1"/>
  <c r="BA21" i="14"/>
  <c r="L19" i="35" s="1"/>
  <c r="AY19" i="33"/>
  <c r="BT19" i="33" s="1"/>
  <c r="AZ21" i="14"/>
  <c r="K19" i="35" s="1"/>
  <c r="AY21" i="14"/>
  <c r="AW19" i="33"/>
  <c r="AX21" i="14"/>
  <c r="AV19" i="33" s="1"/>
  <c r="AW21" i="14"/>
  <c r="AU19" i="33"/>
  <c r="AV21" i="14"/>
  <c r="AT19" i="33" s="1"/>
  <c r="BB19" i="33" s="1"/>
  <c r="AU21" i="14"/>
  <c r="AS19" i="33"/>
  <c r="AT21" i="14"/>
  <c r="AR19" i="33" s="1"/>
  <c r="AS21" i="14"/>
  <c r="AQ19" i="33"/>
  <c r="AR21" i="14"/>
  <c r="AP19" i="33" s="1"/>
  <c r="BA19" i="33" s="1"/>
  <c r="AQ21" i="14"/>
  <c r="AO19" i="33"/>
  <c r="AP21" i="14"/>
  <c r="AN19" i="33" s="1"/>
  <c r="AM21" i="14"/>
  <c r="AK19" i="33"/>
  <c r="AL21" i="14"/>
  <c r="AJ19" i="33" s="1"/>
  <c r="AJ21" i="14"/>
  <c r="AH19" i="33"/>
  <c r="AI21" i="14"/>
  <c r="AG19" i="33" s="1"/>
  <c r="AH21" i="14"/>
  <c r="AF19" i="33"/>
  <c r="AG21" i="14"/>
  <c r="AE19" i="33" s="1"/>
  <c r="AF21" i="14"/>
  <c r="AD19" i="33"/>
  <c r="AE21" i="14"/>
  <c r="AC19" i="33" s="1"/>
  <c r="AD21" i="14"/>
  <c r="AB19" i="33"/>
  <c r="AC21" i="14"/>
  <c r="AA19" i="33" s="1"/>
  <c r="AB21" i="14"/>
  <c r="Z19" i="33"/>
  <c r="AA21" i="14"/>
  <c r="Y19" i="33" s="1"/>
  <c r="Z21" i="14"/>
  <c r="X19" i="33"/>
  <c r="Y21" i="14"/>
  <c r="W19" i="33" s="1"/>
  <c r="X21" i="14"/>
  <c r="V19" i="33"/>
  <c r="W21" i="14"/>
  <c r="U19" i="33" s="1"/>
  <c r="BW19" i="33" s="1"/>
  <c r="V21" i="14"/>
  <c r="T19" i="33"/>
  <c r="U21" i="14"/>
  <c r="S19" i="33" s="1"/>
  <c r="T21" i="14"/>
  <c r="R19" i="33"/>
  <c r="S21" i="14"/>
  <c r="Q19" i="33" s="1"/>
  <c r="BX19" i="33" s="1"/>
  <c r="P21" i="14"/>
  <c r="N19" i="33"/>
  <c r="O21" i="14"/>
  <c r="M19" i="33" s="1"/>
  <c r="N21" i="14"/>
  <c r="L19" i="33"/>
  <c r="BU19" i="33" s="1"/>
  <c r="M21" i="14"/>
  <c r="K19" i="33" s="1"/>
  <c r="K21" i="14"/>
  <c r="I19" i="35" s="1"/>
  <c r="I19" i="33"/>
  <c r="BJ19" i="33" s="1"/>
  <c r="J21" i="14"/>
  <c r="H19" i="35" s="1"/>
  <c r="I21" i="14"/>
  <c r="G19" i="35" s="1"/>
  <c r="G19" i="33"/>
  <c r="BH19" i="33" s="1"/>
  <c r="H21" i="14"/>
  <c r="F19" i="35" s="1"/>
  <c r="G21" i="14"/>
  <c r="E19" i="35" s="1"/>
  <c r="E19" i="33"/>
  <c r="F21" i="14"/>
  <c r="D19" i="35" s="1"/>
  <c r="BB22" i="13"/>
  <c r="AZ20" i="34"/>
  <c r="BA22" i="13"/>
  <c r="AY20" i="34" s="1"/>
  <c r="AZ22" i="13"/>
  <c r="AX20" i="34"/>
  <c r="AY22" i="13"/>
  <c r="AW20" i="34" s="1"/>
  <c r="AX22" i="13"/>
  <c r="AV20" i="34"/>
  <c r="AW22" i="13"/>
  <c r="AU20" i="34" s="1"/>
  <c r="AV22" i="13"/>
  <c r="AT20" i="34"/>
  <c r="AU22" i="13"/>
  <c r="AS20" i="34" s="1"/>
  <c r="AT22" i="13"/>
  <c r="AR20" i="34"/>
  <c r="AS22" i="13"/>
  <c r="AQ20" i="34" s="1"/>
  <c r="AR22" i="13"/>
  <c r="AP20" i="34"/>
  <c r="AQ22" i="13"/>
  <c r="AO20" i="34" s="1"/>
  <c r="AP22" i="13"/>
  <c r="AN20" i="34"/>
  <c r="AO22" i="13"/>
  <c r="AM20" i="34" s="1"/>
  <c r="AM22" i="13"/>
  <c r="AK20" i="34"/>
  <c r="AL22" i="13"/>
  <c r="AJ20" i="34" s="1"/>
  <c r="AJ22" i="13"/>
  <c r="AH20" i="34"/>
  <c r="AI22" i="13"/>
  <c r="AG20" i="34" s="1"/>
  <c r="AH22" i="13"/>
  <c r="AF20" i="34"/>
  <c r="AG22" i="13"/>
  <c r="AE20" i="34" s="1"/>
  <c r="AF22" i="13"/>
  <c r="AD20" i="34"/>
  <c r="AD22" i="13"/>
  <c r="AB20" i="34" s="1"/>
  <c r="AC22" i="13"/>
  <c r="AA20" i="34"/>
  <c r="AB22" i="13"/>
  <c r="Z20" i="34" s="1"/>
  <c r="AA22" i="13"/>
  <c r="Y20" i="34"/>
  <c r="Z22" i="13"/>
  <c r="X20" i="34" s="1"/>
  <c r="Y22" i="13"/>
  <c r="W20" i="34"/>
  <c r="X22" i="13"/>
  <c r="V20" i="34" s="1"/>
  <c r="W22" i="13"/>
  <c r="U20" i="34"/>
  <c r="V22" i="13"/>
  <c r="T20" i="34" s="1"/>
  <c r="U22" i="13"/>
  <c r="S20" i="34"/>
  <c r="T22" i="13"/>
  <c r="R20" i="34" s="1"/>
  <c r="S22" i="13"/>
  <c r="Q20" i="34"/>
  <c r="P22" i="13"/>
  <c r="N20" i="34" s="1"/>
  <c r="O22" i="13"/>
  <c r="M20" i="34"/>
  <c r="M22" i="13"/>
  <c r="K20" i="34" s="1"/>
  <c r="K22" i="13"/>
  <c r="I20" i="34"/>
  <c r="J22" i="13"/>
  <c r="H20" i="34" s="1"/>
  <c r="I22" i="13"/>
  <c r="G20" i="34"/>
  <c r="H22" i="13"/>
  <c r="F20" i="34" s="1"/>
  <c r="G22" i="13"/>
  <c r="E20" i="34"/>
  <c r="F22" i="13"/>
  <c r="D20" i="34" s="1"/>
  <c r="BB21" i="13"/>
  <c r="AZ20" i="33"/>
  <c r="BA21" i="13"/>
  <c r="L20" i="35" s="1"/>
  <c r="AZ21" i="13"/>
  <c r="K20" i="35" s="1"/>
  <c r="AX20" i="33"/>
  <c r="BS20" i="33" s="1"/>
  <c r="AY21" i="13"/>
  <c r="AW20" i="33" s="1"/>
  <c r="AX21" i="13"/>
  <c r="AV20" i="33"/>
  <c r="AW21" i="13"/>
  <c r="AU20" i="33" s="1"/>
  <c r="AV21" i="13"/>
  <c r="AT20" i="33"/>
  <c r="AU21" i="13"/>
  <c r="AS20" i="33" s="1"/>
  <c r="AT21" i="13"/>
  <c r="AR20" i="33"/>
  <c r="AS21" i="13"/>
  <c r="AQ20" i="33" s="1"/>
  <c r="AR21" i="13"/>
  <c r="AP20" i="33"/>
  <c r="AQ21" i="13"/>
  <c r="AO20" i="33" s="1"/>
  <c r="AP21" i="13"/>
  <c r="AN20" i="33"/>
  <c r="AM21" i="13"/>
  <c r="AK20" i="33" s="1"/>
  <c r="AL21" i="13"/>
  <c r="AJ20" i="33"/>
  <c r="AJ21" i="13"/>
  <c r="AH20" i="33" s="1"/>
  <c r="AI21" i="13"/>
  <c r="AG20" i="33"/>
  <c r="AH21" i="13"/>
  <c r="AF20" i="33" s="1"/>
  <c r="AF21" i="13"/>
  <c r="AD20" i="33"/>
  <c r="AE21" i="13"/>
  <c r="AC20" i="33" s="1"/>
  <c r="AD21" i="13"/>
  <c r="AB20" i="33"/>
  <c r="AC21" i="13"/>
  <c r="AA20" i="33" s="1"/>
  <c r="AB21" i="13"/>
  <c r="Z20" i="33"/>
  <c r="AA21" i="13"/>
  <c r="Y20" i="33" s="1"/>
  <c r="Z21" i="13"/>
  <c r="X20" i="33"/>
  <c r="Y21" i="13"/>
  <c r="W20" i="33" s="1"/>
  <c r="X21" i="13"/>
  <c r="V20" i="33"/>
  <c r="W21" i="13"/>
  <c r="U20" i="33" s="1"/>
  <c r="BW20" i="33" s="1"/>
  <c r="V21" i="13"/>
  <c r="T20" i="33"/>
  <c r="U21" i="13"/>
  <c r="S20" i="33" s="1"/>
  <c r="T21" i="13"/>
  <c r="R20" i="33"/>
  <c r="S21" i="13"/>
  <c r="Q20" i="33" s="1"/>
  <c r="BX20" i="33" s="1"/>
  <c r="R21" i="13"/>
  <c r="P20" i="33"/>
  <c r="P21" i="13"/>
  <c r="N20" i="33" s="1"/>
  <c r="O21" i="13"/>
  <c r="M20" i="33"/>
  <c r="M21" i="13"/>
  <c r="K20" i="33" s="1"/>
  <c r="L21" i="13"/>
  <c r="J20" i="35" s="1"/>
  <c r="J20" i="33"/>
  <c r="BK20" i="33" s="1"/>
  <c r="K21" i="13"/>
  <c r="I20" i="35" s="1"/>
  <c r="J21" i="13"/>
  <c r="H20" i="35" s="1"/>
  <c r="H20" i="33"/>
  <c r="BI20" i="33" s="1"/>
  <c r="I21" i="13"/>
  <c r="G20" i="35" s="1"/>
  <c r="H21" i="13"/>
  <c r="F20" i="35" s="1"/>
  <c r="F20" i="33"/>
  <c r="G21" i="13"/>
  <c r="E20" i="35" s="1"/>
  <c r="F21" i="13"/>
  <c r="D20" i="35" s="1"/>
  <c r="D20" i="33"/>
  <c r="BB22" i="29"/>
  <c r="AZ21" i="34" s="1"/>
  <c r="BA22" i="29"/>
  <c r="AY21" i="34"/>
  <c r="AZ22" i="29"/>
  <c r="AX21" i="34" s="1"/>
  <c r="AY22" i="29"/>
  <c r="AW21" i="34"/>
  <c r="AX22" i="29"/>
  <c r="AV21" i="34" s="1"/>
  <c r="AW22" i="29"/>
  <c r="AU21" i="34"/>
  <c r="AV22" i="29"/>
  <c r="AT21" i="34" s="1"/>
  <c r="AU22" i="29"/>
  <c r="AS21" i="34"/>
  <c r="AT22" i="29"/>
  <c r="AR21" i="34" s="1"/>
  <c r="AS22" i="29"/>
  <c r="AQ21" i="34"/>
  <c r="AQ22" i="29"/>
  <c r="AO21" i="34" s="1"/>
  <c r="AP22" i="29"/>
  <c r="AN21" i="34"/>
  <c r="AO22" i="29"/>
  <c r="AM21" i="34" s="1"/>
  <c r="AN22" i="29"/>
  <c r="AL21" i="34"/>
  <c r="AM22" i="29"/>
  <c r="AK21" i="34" s="1"/>
  <c r="AL22" i="29"/>
  <c r="AJ21" i="34"/>
  <c r="AK22" i="29"/>
  <c r="AI21" i="34" s="1"/>
  <c r="AJ22" i="29"/>
  <c r="AH21" i="34"/>
  <c r="AI22" i="29"/>
  <c r="AG21" i="34" s="1"/>
  <c r="AH22" i="29"/>
  <c r="AF21" i="34"/>
  <c r="AG22" i="29"/>
  <c r="AE21" i="34" s="1"/>
  <c r="AF22" i="29"/>
  <c r="AD21" i="34"/>
  <c r="AE22" i="29"/>
  <c r="AC21" i="34" s="1"/>
  <c r="AD22" i="29"/>
  <c r="AB21" i="34"/>
  <c r="AC22" i="29"/>
  <c r="AA21" i="34" s="1"/>
  <c r="AB22" i="29"/>
  <c r="Z21" i="34"/>
  <c r="AA22" i="29"/>
  <c r="Y21" i="34" s="1"/>
  <c r="Z22" i="29"/>
  <c r="X21" i="34"/>
  <c r="Y22" i="29"/>
  <c r="W21" i="34" s="1"/>
  <c r="X22" i="29"/>
  <c r="V21" i="34"/>
  <c r="W22" i="29"/>
  <c r="U21" i="34" s="1"/>
  <c r="V22" i="29"/>
  <c r="T21" i="34"/>
  <c r="U22" i="29"/>
  <c r="S21" i="34" s="1"/>
  <c r="T22" i="29"/>
  <c r="R21" i="34"/>
  <c r="S22" i="29"/>
  <c r="Q21" i="34" s="1"/>
  <c r="R22" i="29"/>
  <c r="P21" i="34"/>
  <c r="Q22" i="29"/>
  <c r="O21" i="34" s="1"/>
  <c r="P22" i="29"/>
  <c r="N21" i="34"/>
  <c r="O22" i="29"/>
  <c r="M21" i="34" s="1"/>
  <c r="N22" i="29"/>
  <c r="L21" i="34"/>
  <c r="M22" i="29"/>
  <c r="K21" i="34" s="1"/>
  <c r="L22" i="29"/>
  <c r="J21" i="34"/>
  <c r="K22" i="29"/>
  <c r="I21" i="34" s="1"/>
  <c r="J22" i="29"/>
  <c r="H21" i="34"/>
  <c r="I22" i="29"/>
  <c r="G21" i="34" s="1"/>
  <c r="H22" i="29"/>
  <c r="F21" i="34"/>
  <c r="G22" i="29"/>
  <c r="E21" i="34" s="1"/>
  <c r="F22" i="29"/>
  <c r="D21" i="34"/>
  <c r="E22" i="29"/>
  <c r="C21" i="34" s="1"/>
  <c r="BB21" i="29"/>
  <c r="AZ21" i="33"/>
  <c r="BA21" i="29"/>
  <c r="L21" i="35" s="1"/>
  <c r="AZ21" i="29"/>
  <c r="K21" i="35" s="1"/>
  <c r="AX21" i="33"/>
  <c r="BS21" i="33" s="1"/>
  <c r="AY21" i="29"/>
  <c r="AW21" i="33" s="1"/>
  <c r="AX21" i="29"/>
  <c r="AV21" i="33"/>
  <c r="AW21" i="29"/>
  <c r="AU21" i="33" s="1"/>
  <c r="AV21" i="29"/>
  <c r="AT21" i="33"/>
  <c r="AU21" i="29"/>
  <c r="AS21" i="33" s="1"/>
  <c r="AT21" i="29"/>
  <c r="AR21" i="33"/>
  <c r="AS21" i="29"/>
  <c r="AQ21" i="33" s="1"/>
  <c r="AR21" i="29"/>
  <c r="AP21" i="33"/>
  <c r="AQ21" i="29"/>
  <c r="AO21" i="33" s="1"/>
  <c r="AP21" i="29"/>
  <c r="AN21" i="33"/>
  <c r="AO21" i="29"/>
  <c r="AM21" i="33" s="1"/>
  <c r="AN21" i="29"/>
  <c r="AL21" i="33"/>
  <c r="AM21" i="29"/>
  <c r="AK21" i="33" s="1"/>
  <c r="AL21" i="29"/>
  <c r="AJ21" i="33"/>
  <c r="AK21" i="29"/>
  <c r="AI21" i="33" s="1"/>
  <c r="AJ21" i="29"/>
  <c r="AH21" i="33"/>
  <c r="AI21" i="29"/>
  <c r="AG21" i="33" s="1"/>
  <c r="AH21" i="29"/>
  <c r="AF21" i="33"/>
  <c r="AG21" i="29"/>
  <c r="AE21" i="33" s="1"/>
  <c r="AF21" i="29"/>
  <c r="AD21" i="33"/>
  <c r="AE21" i="29"/>
  <c r="AC21" i="33" s="1"/>
  <c r="AD21" i="29"/>
  <c r="AB21" i="33"/>
  <c r="AC21" i="29"/>
  <c r="AA21" i="33" s="1"/>
  <c r="AB21" i="29"/>
  <c r="Z21" i="33"/>
  <c r="AA21" i="29"/>
  <c r="Y21" i="33" s="1"/>
  <c r="Z21" i="29"/>
  <c r="X21" i="33"/>
  <c r="Y21" i="29"/>
  <c r="W21" i="33" s="1"/>
  <c r="X21" i="29"/>
  <c r="V21" i="33"/>
  <c r="W21" i="29"/>
  <c r="U21" i="33" s="1"/>
  <c r="BW21" i="33" s="1"/>
  <c r="V21" i="29"/>
  <c r="T21" i="33"/>
  <c r="U21" i="29"/>
  <c r="S21" i="33" s="1"/>
  <c r="T21" i="29"/>
  <c r="R21" i="33"/>
  <c r="R21" i="29"/>
  <c r="P21" i="33" s="1"/>
  <c r="Q21" i="29"/>
  <c r="O21" i="33"/>
  <c r="BV21" i="33" s="1"/>
  <c r="P21" i="29"/>
  <c r="N21" i="33" s="1"/>
  <c r="O21" i="29"/>
  <c r="M21" i="33"/>
  <c r="N21" i="29"/>
  <c r="L21" i="33" s="1"/>
  <c r="BU21" i="33" s="1"/>
  <c r="M21" i="29"/>
  <c r="K21" i="33"/>
  <c r="L21" i="29"/>
  <c r="J21" i="35" s="1"/>
  <c r="K21" i="29"/>
  <c r="I21" i="35" s="1"/>
  <c r="I21" i="33"/>
  <c r="BJ21" i="33" s="1"/>
  <c r="J21" i="29"/>
  <c r="H21" i="35" s="1"/>
  <c r="I21" i="29"/>
  <c r="G21" i="35" s="1"/>
  <c r="G21" i="33"/>
  <c r="BH21" i="33" s="1"/>
  <c r="H21" i="29"/>
  <c r="F21" i="35" s="1"/>
  <c r="G21" i="29"/>
  <c r="E21" i="35" s="1"/>
  <c r="E21" i="33"/>
  <c r="F21" i="29"/>
  <c r="D21" i="35" s="1"/>
  <c r="E21" i="29"/>
  <c r="C21" i="35" s="1"/>
  <c r="C21" i="33"/>
  <c r="BD21" i="33" s="1"/>
  <c r="BB22" i="17"/>
  <c r="AZ22" i="34" s="1"/>
  <c r="BA22" i="17"/>
  <c r="AY22" i="34"/>
  <c r="AZ22" i="17"/>
  <c r="AX22" i="34" s="1"/>
  <c r="AX22" i="17"/>
  <c r="AV22" i="34"/>
  <c r="AW22" i="17"/>
  <c r="AU22" i="34" s="1"/>
  <c r="AV22" i="17"/>
  <c r="AT22" i="34"/>
  <c r="AU22" i="17"/>
  <c r="AS22" i="34" s="1"/>
  <c r="AS22" i="17"/>
  <c r="AQ22" i="34"/>
  <c r="AQ22" i="17"/>
  <c r="AO22" i="34" s="1"/>
  <c r="AP22" i="17"/>
  <c r="AN22" i="34"/>
  <c r="AM22" i="17"/>
  <c r="AK22" i="34" s="1"/>
  <c r="AK22" i="17"/>
  <c r="AI22" i="34"/>
  <c r="AJ22" i="17"/>
  <c r="AH22" i="34" s="1"/>
  <c r="AI22" i="17"/>
  <c r="AG22" i="34"/>
  <c r="AH22" i="17"/>
  <c r="AF22" i="34" s="1"/>
  <c r="AF22" i="17"/>
  <c r="AD22" i="34"/>
  <c r="AE22" i="17"/>
  <c r="AC22" i="34" s="1"/>
  <c r="AC22" i="17"/>
  <c r="AA22" i="34"/>
  <c r="AB22" i="17"/>
  <c r="Z22" i="34" s="1"/>
  <c r="AA22" i="17"/>
  <c r="Y22" i="34"/>
  <c r="Z22" i="17"/>
  <c r="X22" i="34" s="1"/>
  <c r="Y22" i="17"/>
  <c r="W22" i="34"/>
  <c r="X22" i="17"/>
  <c r="V22" i="34" s="1"/>
  <c r="W22" i="17"/>
  <c r="U22" i="34"/>
  <c r="V22" i="17"/>
  <c r="T22" i="34" s="1"/>
  <c r="T22" i="17"/>
  <c r="R22" i="34"/>
  <c r="S22" i="17"/>
  <c r="Q22" i="34" s="1"/>
  <c r="Q22" i="17"/>
  <c r="O22" i="34"/>
  <c r="P22" i="17"/>
  <c r="N22" i="34" s="1"/>
  <c r="O22" i="17"/>
  <c r="M22" i="34"/>
  <c r="N22" i="17"/>
  <c r="L22" i="34" s="1"/>
  <c r="M22" i="17"/>
  <c r="K22" i="34"/>
  <c r="L22" i="17"/>
  <c r="J22" i="34" s="1"/>
  <c r="K22" i="17"/>
  <c r="I22" i="34"/>
  <c r="J22" i="17"/>
  <c r="H22" i="34" s="1"/>
  <c r="I22" i="17"/>
  <c r="G22" i="34"/>
  <c r="H22" i="17"/>
  <c r="F22" i="34" s="1"/>
  <c r="G22" i="17"/>
  <c r="E22" i="34"/>
  <c r="F22" i="17"/>
  <c r="D22" i="34" s="1"/>
  <c r="BB21" i="17"/>
  <c r="AZ22" i="33"/>
  <c r="BA21" i="17"/>
  <c r="L22" i="35" s="1"/>
  <c r="AZ21" i="17"/>
  <c r="K22" i="35" s="1"/>
  <c r="AX22" i="33"/>
  <c r="BS22" i="33" s="1"/>
  <c r="AX21" i="17"/>
  <c r="AV22" i="33" s="1"/>
  <c r="AW21" i="17"/>
  <c r="AU22" i="33"/>
  <c r="AV21" i="17"/>
  <c r="AT22" i="33" s="1"/>
  <c r="BB22" i="33" s="1"/>
  <c r="AU21" i="17"/>
  <c r="AS22" i="33"/>
  <c r="AT21" i="17"/>
  <c r="AR22" i="33" s="1"/>
  <c r="AQ21" i="17"/>
  <c r="AO22" i="33"/>
  <c r="AP21" i="17"/>
  <c r="AN22" i="33" s="1"/>
  <c r="AM21" i="17"/>
  <c r="AK22" i="33"/>
  <c r="AL21" i="17"/>
  <c r="AJ22" i="33" s="1"/>
  <c r="AJ21" i="17"/>
  <c r="AH22" i="33"/>
  <c r="AI21" i="17"/>
  <c r="AG22" i="33" s="1"/>
  <c r="AH21" i="17"/>
  <c r="AF22" i="33"/>
  <c r="AF21" i="17"/>
  <c r="AD22" i="33" s="1"/>
  <c r="AE21" i="17"/>
  <c r="AC22" i="33"/>
  <c r="AD21" i="17"/>
  <c r="AB22" i="33" s="1"/>
  <c r="AC21" i="17"/>
  <c r="AA22" i="33"/>
  <c r="AB21" i="17"/>
  <c r="Z22" i="33" s="1"/>
  <c r="AA21" i="17"/>
  <c r="Y22" i="33"/>
  <c r="Z21" i="17"/>
  <c r="X22" i="33" s="1"/>
  <c r="Y21" i="17"/>
  <c r="W22" i="33"/>
  <c r="X21" i="17"/>
  <c r="V22" i="33" s="1"/>
  <c r="W21" i="17"/>
  <c r="U22" i="33"/>
  <c r="BW22" i="33" s="1"/>
  <c r="V21" i="17"/>
  <c r="T22" i="33" s="1"/>
  <c r="T21" i="17"/>
  <c r="R22" i="33"/>
  <c r="S21" i="17"/>
  <c r="Q22" i="33" s="1"/>
  <c r="BX22" i="33" s="1"/>
  <c r="R21" i="17"/>
  <c r="P22" i="33"/>
  <c r="P21" i="17"/>
  <c r="N22" i="33" s="1"/>
  <c r="O21" i="17"/>
  <c r="M22" i="33"/>
  <c r="N21" i="17"/>
  <c r="L22" i="33" s="1"/>
  <c r="BU22" i="33" s="1"/>
  <c r="M21" i="17"/>
  <c r="K22" i="33"/>
  <c r="K21" i="17"/>
  <c r="I22" i="35" s="1"/>
  <c r="J21" i="17"/>
  <c r="H22" i="35" s="1"/>
  <c r="H22" i="33"/>
  <c r="BI22" i="33" s="1"/>
  <c r="I21" i="17"/>
  <c r="G22" i="35" s="1"/>
  <c r="H21" i="17"/>
  <c r="F22" i="35" s="1"/>
  <c r="F22" i="33"/>
  <c r="G21" i="17"/>
  <c r="E22" i="35" s="1"/>
  <c r="F21" i="17"/>
  <c r="D22" i="35" s="1"/>
  <c r="D22" i="33"/>
  <c r="BB22" i="16"/>
  <c r="AZ23" i="34" s="1"/>
  <c r="BA22" i="16"/>
  <c r="AY23" i="34"/>
  <c r="AZ22" i="16"/>
  <c r="AX23" i="34" s="1"/>
  <c r="AX22" i="16"/>
  <c r="AV23" i="34"/>
  <c r="AW22" i="16"/>
  <c r="AU23" i="34" s="1"/>
  <c r="AV22" i="16"/>
  <c r="AT23" i="34"/>
  <c r="AU22" i="16"/>
  <c r="AS23" i="34" s="1"/>
  <c r="AT22" i="16"/>
  <c r="AR23" i="34" s="1"/>
  <c r="AR22" i="16"/>
  <c r="AP23" i="34"/>
  <c r="AQ22" i="16"/>
  <c r="AO23" i="34" s="1"/>
  <c r="AP22" i="16"/>
  <c r="AN23" i="34"/>
  <c r="AM22" i="16"/>
  <c r="AK23" i="34" s="1"/>
  <c r="AJ22" i="16"/>
  <c r="AH23" i="34"/>
  <c r="AI22" i="16"/>
  <c r="AG23" i="34" s="1"/>
  <c r="AH22" i="16"/>
  <c r="AF23" i="34"/>
  <c r="AF22" i="16"/>
  <c r="AD23" i="34" s="1"/>
  <c r="AE22" i="16"/>
  <c r="AC23" i="34"/>
  <c r="AD22" i="16"/>
  <c r="AB23" i="34" s="1"/>
  <c r="AC22" i="16"/>
  <c r="AA23" i="34"/>
  <c r="AB22" i="16"/>
  <c r="Z23" i="34" s="1"/>
  <c r="AA22" i="16"/>
  <c r="Y23" i="34"/>
  <c r="Z22" i="16"/>
  <c r="X23" i="34" s="1"/>
  <c r="Y22" i="16"/>
  <c r="W23" i="34"/>
  <c r="X22" i="16"/>
  <c r="V23" i="34" s="1"/>
  <c r="W22" i="16"/>
  <c r="U23" i="34"/>
  <c r="V22" i="16"/>
  <c r="T23" i="34" s="1"/>
  <c r="T22" i="16"/>
  <c r="R23" i="34"/>
  <c r="P22" i="16"/>
  <c r="N23" i="34" s="1"/>
  <c r="O22" i="16"/>
  <c r="M23" i="34"/>
  <c r="M22" i="16"/>
  <c r="K23" i="34" s="1"/>
  <c r="L22" i="16"/>
  <c r="J23" i="34"/>
  <c r="K22" i="16"/>
  <c r="I23" i="34" s="1"/>
  <c r="J22" i="16"/>
  <c r="H23" i="34"/>
  <c r="I22" i="16"/>
  <c r="G23" i="34" s="1"/>
  <c r="H22" i="16"/>
  <c r="F23" i="34"/>
  <c r="G22" i="16"/>
  <c r="E23" i="34" s="1"/>
  <c r="F22" i="16"/>
  <c r="D23" i="34"/>
  <c r="BB21" i="16"/>
  <c r="AZ23" i="33" s="1"/>
  <c r="BA21" i="16"/>
  <c r="L23" i="35" s="1"/>
  <c r="AY23" i="33"/>
  <c r="BT23" i="33" s="1"/>
  <c r="AZ21" i="16"/>
  <c r="AX21" i="16"/>
  <c r="AV23" i="33"/>
  <c r="AW21" i="16"/>
  <c r="AU23" i="33" s="1"/>
  <c r="AV21" i="16"/>
  <c r="AT23" i="33" s="1"/>
  <c r="AU21" i="16"/>
  <c r="AS23" i="33"/>
  <c r="AT21" i="16"/>
  <c r="AR23" i="33"/>
  <c r="AQ21" i="16"/>
  <c r="AO23" i="33"/>
  <c r="AP21" i="16"/>
  <c r="AN23" i="33"/>
  <c r="AM21" i="16"/>
  <c r="AK23" i="33"/>
  <c r="AI21" i="16"/>
  <c r="AG23" i="33"/>
  <c r="AH21" i="16"/>
  <c r="AF23" i="33"/>
  <c r="AF21" i="16"/>
  <c r="AD23" i="33"/>
  <c r="AE21" i="16"/>
  <c r="AC23" i="33"/>
  <c r="AD21" i="16"/>
  <c r="AB23" i="33"/>
  <c r="AC21" i="16"/>
  <c r="AA23" i="33"/>
  <c r="AB21" i="16"/>
  <c r="Z23" i="33"/>
  <c r="AA21" i="16"/>
  <c r="Y23" i="33"/>
  <c r="Z21" i="16"/>
  <c r="X23" i="33"/>
  <c r="Y21" i="16"/>
  <c r="W23" i="33"/>
  <c r="X21" i="16"/>
  <c r="V23" i="33"/>
  <c r="W21" i="16"/>
  <c r="U23" i="33"/>
  <c r="BW23" i="33" s="1"/>
  <c r="V21" i="16"/>
  <c r="T23" i="33"/>
  <c r="T21" i="16"/>
  <c r="R23" i="33"/>
  <c r="P21" i="16"/>
  <c r="N23" i="33"/>
  <c r="O21" i="16"/>
  <c r="M23" i="33"/>
  <c r="M21" i="16"/>
  <c r="K23" i="33"/>
  <c r="L21" i="16"/>
  <c r="J23" i="35" s="1"/>
  <c r="J23" i="33"/>
  <c r="BK23" i="33" s="1"/>
  <c r="K21" i="16"/>
  <c r="I23" i="35" s="1"/>
  <c r="I23" i="33"/>
  <c r="BJ23" i="33" s="1"/>
  <c r="J21" i="16"/>
  <c r="H23" i="35" s="1"/>
  <c r="H23" i="33"/>
  <c r="BI23" i="33" s="1"/>
  <c r="I21" i="16"/>
  <c r="G23" i="35" s="1"/>
  <c r="G23" i="33"/>
  <c r="BH23" i="33" s="1"/>
  <c r="H21" i="16"/>
  <c r="F23" i="35" s="1"/>
  <c r="F23" i="33"/>
  <c r="G21" i="16"/>
  <c r="E23" i="35" s="1"/>
  <c r="E23" i="33"/>
  <c r="F21" i="16"/>
  <c r="D23" i="35" s="1"/>
  <c r="D23" i="33"/>
  <c r="BB22" i="21"/>
  <c r="AZ24" i="34"/>
  <c r="BA22" i="21"/>
  <c r="AY24" i="34"/>
  <c r="AZ22" i="21"/>
  <c r="AX24" i="34"/>
  <c r="AX22" i="21"/>
  <c r="AV24" i="34"/>
  <c r="AW22" i="21"/>
  <c r="AU24" i="34"/>
  <c r="AV22" i="21"/>
  <c r="AT24" i="34"/>
  <c r="AU22" i="21"/>
  <c r="AS24" i="34"/>
  <c r="AT22" i="21"/>
  <c r="AR24" i="34"/>
  <c r="AS22" i="21"/>
  <c r="AQ24" i="34"/>
  <c r="AQ22" i="21"/>
  <c r="AO24" i="34"/>
  <c r="AP22" i="21"/>
  <c r="AN24" i="34"/>
  <c r="AO22" i="21"/>
  <c r="AM24" i="34"/>
  <c r="AM22" i="21"/>
  <c r="AK24" i="34"/>
  <c r="AL22" i="21"/>
  <c r="AJ24" i="34"/>
  <c r="AJ22" i="21"/>
  <c r="AH24" i="34"/>
  <c r="AI22" i="21"/>
  <c r="AG24" i="34"/>
  <c r="AH22" i="21"/>
  <c r="AF24" i="34"/>
  <c r="AF22" i="21"/>
  <c r="AD24" i="34"/>
  <c r="AE22" i="21"/>
  <c r="AC24" i="34"/>
  <c r="AD22" i="21"/>
  <c r="AB24" i="34"/>
  <c r="AC22" i="21"/>
  <c r="AA24" i="34"/>
  <c r="AB22" i="21"/>
  <c r="Z24" i="34"/>
  <c r="AA22" i="21"/>
  <c r="Y24" i="34"/>
  <c r="Z22" i="21"/>
  <c r="X24" i="34"/>
  <c r="Y22" i="21"/>
  <c r="W24" i="34"/>
  <c r="X22" i="21"/>
  <c r="V24" i="34"/>
  <c r="W22" i="21"/>
  <c r="U24" i="34"/>
  <c r="V22" i="21"/>
  <c r="T24" i="34"/>
  <c r="U22" i="21"/>
  <c r="S24" i="34"/>
  <c r="T22" i="21"/>
  <c r="R24" i="34"/>
  <c r="S22" i="21"/>
  <c r="Q24" i="34"/>
  <c r="R22" i="21"/>
  <c r="P24" i="34"/>
  <c r="Q22" i="21"/>
  <c r="O24" i="34"/>
  <c r="P22" i="21"/>
  <c r="N24" i="34"/>
  <c r="O22" i="21"/>
  <c r="M24" i="34"/>
  <c r="N22" i="21"/>
  <c r="L24" i="34"/>
  <c r="M22" i="21"/>
  <c r="K24" i="34"/>
  <c r="J22" i="21"/>
  <c r="H24" i="34"/>
  <c r="I22" i="21"/>
  <c r="G24" i="34"/>
  <c r="G22" i="21"/>
  <c r="E24" i="34"/>
  <c r="F22" i="21"/>
  <c r="D24" i="34"/>
  <c r="BB21" i="21"/>
  <c r="AZ24" i="33"/>
  <c r="BA21" i="21"/>
  <c r="L24" i="35" s="1"/>
  <c r="AY24" i="33"/>
  <c r="BT24" i="33" s="1"/>
  <c r="AZ21" i="21"/>
  <c r="K24" i="35" s="1"/>
  <c r="AX24" i="33"/>
  <c r="BS24" i="33" s="1"/>
  <c r="AX21" i="21"/>
  <c r="AV24" i="33"/>
  <c r="AW21" i="21"/>
  <c r="AU24" i="33"/>
  <c r="AV21" i="21"/>
  <c r="AT24" i="33"/>
  <c r="AU21" i="21"/>
  <c r="AS24" i="33"/>
  <c r="AT21" i="21"/>
  <c r="AR24" i="33"/>
  <c r="AS21" i="21"/>
  <c r="AQ24" i="33"/>
  <c r="AR21" i="21"/>
  <c r="AP24" i="33"/>
  <c r="AQ21" i="21"/>
  <c r="AO24" i="33"/>
  <c r="AP21" i="21"/>
  <c r="AN24" i="33"/>
  <c r="AN21" i="21"/>
  <c r="AL24" i="33"/>
  <c r="AM21" i="21"/>
  <c r="AK24" i="33"/>
  <c r="AL21" i="21"/>
  <c r="AJ24" i="33"/>
  <c r="AK21" i="21"/>
  <c r="AI24" i="33"/>
  <c r="AJ21" i="21"/>
  <c r="AH24" i="33"/>
  <c r="AI21" i="21"/>
  <c r="AG24" i="33"/>
  <c r="AH21" i="21"/>
  <c r="AF24" i="33"/>
  <c r="AG21" i="21"/>
  <c r="AE24" i="33"/>
  <c r="AF21" i="21"/>
  <c r="AD24" i="33"/>
  <c r="AE21" i="21"/>
  <c r="AC24" i="33"/>
  <c r="AD21" i="21"/>
  <c r="AB24" i="33"/>
  <c r="AC21" i="21"/>
  <c r="AA24" i="33"/>
  <c r="AB21" i="21"/>
  <c r="Z24" i="33"/>
  <c r="AA21" i="21"/>
  <c r="Y24" i="33"/>
  <c r="Z21" i="21"/>
  <c r="X24" i="33"/>
  <c r="Y21" i="21"/>
  <c r="W24" i="33"/>
  <c r="X21" i="21"/>
  <c r="V24" i="33"/>
  <c r="W21" i="21"/>
  <c r="U24" i="33"/>
  <c r="BW24" i="33" s="1"/>
  <c r="V21" i="21"/>
  <c r="T24" i="33"/>
  <c r="U21" i="21"/>
  <c r="S24" i="33"/>
  <c r="T21" i="21"/>
  <c r="R24" i="33"/>
  <c r="S21" i="21"/>
  <c r="Q24" i="33"/>
  <c r="BX24" i="33" s="1"/>
  <c r="R21" i="21"/>
  <c r="P24" i="33"/>
  <c r="Q21" i="21"/>
  <c r="O24" i="33"/>
  <c r="BV24" i="33" s="1"/>
  <c r="P21" i="21"/>
  <c r="N24" i="33"/>
  <c r="O21" i="21"/>
  <c r="M24" i="33"/>
  <c r="N21" i="21"/>
  <c r="L24" i="33"/>
  <c r="BU24" i="33" s="1"/>
  <c r="M21" i="21"/>
  <c r="K24" i="33"/>
  <c r="J21" i="21"/>
  <c r="H24" i="35" s="1"/>
  <c r="H24" i="33"/>
  <c r="BI24" i="33" s="1"/>
  <c r="I21" i="21"/>
  <c r="G24" i="35" s="1"/>
  <c r="G24" i="33"/>
  <c r="BH24" i="33" s="1"/>
  <c r="G21" i="21"/>
  <c r="E24" i="35" s="1"/>
  <c r="E24" i="33"/>
  <c r="F21" i="21"/>
  <c r="D24" i="35" s="1"/>
  <c r="D24" i="33"/>
  <c r="BB22" i="9"/>
  <c r="AZ25" i="34"/>
  <c r="BA22" i="9"/>
  <c r="AY25" i="34"/>
  <c r="AZ22" i="9"/>
  <c r="AX25" i="34"/>
  <c r="AX22" i="9"/>
  <c r="AV25" i="34"/>
  <c r="AW22" i="9"/>
  <c r="AU25" i="34"/>
  <c r="AV22" i="9"/>
  <c r="AT25" i="34"/>
  <c r="AU22" i="9"/>
  <c r="AS25" i="34"/>
  <c r="AT22" i="9"/>
  <c r="AR25" i="34" s="1"/>
  <c r="AS22" i="9"/>
  <c r="AQ25" i="34" s="1"/>
  <c r="AQ22" i="9"/>
  <c r="AO25" i="34" s="1"/>
  <c r="AP22" i="9"/>
  <c r="AN25" i="34"/>
  <c r="AO22" i="9"/>
  <c r="AM25" i="34" s="1"/>
  <c r="AK22" i="9"/>
  <c r="AI25" i="34" s="1"/>
  <c r="AJ22" i="9"/>
  <c r="AH25" i="34" s="1"/>
  <c r="AI22" i="9"/>
  <c r="AG25" i="34"/>
  <c r="AH22" i="9"/>
  <c r="AF25" i="34" s="1"/>
  <c r="AG22" i="9"/>
  <c r="AE25" i="34" s="1"/>
  <c r="AF22" i="9"/>
  <c r="AD25" i="34" s="1"/>
  <c r="AD22" i="9"/>
  <c r="AB25" i="34"/>
  <c r="AC22" i="9"/>
  <c r="AA25" i="34" s="1"/>
  <c r="AB22" i="9"/>
  <c r="Z25" i="34" s="1"/>
  <c r="AA22" i="9"/>
  <c r="Y25" i="34" s="1"/>
  <c r="Y22" i="9"/>
  <c r="W25" i="34"/>
  <c r="W22" i="9"/>
  <c r="U25" i="34" s="1"/>
  <c r="V22" i="9"/>
  <c r="T25" i="34" s="1"/>
  <c r="U22" i="9"/>
  <c r="S25" i="34" s="1"/>
  <c r="T22" i="9"/>
  <c r="R25" i="34"/>
  <c r="Q22" i="9"/>
  <c r="O25" i="34" s="1"/>
  <c r="P22" i="9"/>
  <c r="N25" i="34" s="1"/>
  <c r="O22" i="9"/>
  <c r="M25" i="34" s="1"/>
  <c r="N22" i="9"/>
  <c r="L25" i="34"/>
  <c r="M22" i="9"/>
  <c r="K25" i="34" s="1"/>
  <c r="L22" i="9"/>
  <c r="J25" i="34" s="1"/>
  <c r="J22" i="9"/>
  <c r="H25" i="34" s="1"/>
  <c r="I22" i="9"/>
  <c r="G25" i="34"/>
  <c r="H22" i="9"/>
  <c r="F25" i="34" s="1"/>
  <c r="G22" i="9"/>
  <c r="E25" i="34" s="1"/>
  <c r="F22" i="9"/>
  <c r="D25" i="34" s="1"/>
  <c r="E22" i="9"/>
  <c r="C25" i="34"/>
  <c r="BB21" i="9"/>
  <c r="AZ25" i="33" s="1"/>
  <c r="BA21" i="9"/>
  <c r="L25" i="35" s="1"/>
  <c r="AZ21" i="9"/>
  <c r="K25" i="35" s="1"/>
  <c r="AY21" i="9"/>
  <c r="AW25" i="33"/>
  <c r="AX21" i="9"/>
  <c r="AV25" i="33" s="1"/>
  <c r="AW21" i="9"/>
  <c r="AU25" i="33" s="1"/>
  <c r="AV21" i="9"/>
  <c r="AT25" i="33" s="1"/>
  <c r="AU21" i="9"/>
  <c r="AS25" i="33"/>
  <c r="AT21" i="9"/>
  <c r="AR25" i="33" s="1"/>
  <c r="AS21" i="9"/>
  <c r="AQ25" i="33" s="1"/>
  <c r="AQ21" i="9"/>
  <c r="AO25" i="33" s="1"/>
  <c r="AP21" i="9"/>
  <c r="AN25" i="33"/>
  <c r="AM21" i="9"/>
  <c r="AK25" i="33" s="1"/>
  <c r="AK21" i="9"/>
  <c r="AI25" i="33" s="1"/>
  <c r="AJ21" i="9"/>
  <c r="AH25" i="33" s="1"/>
  <c r="AI21" i="9"/>
  <c r="AG25" i="33"/>
  <c r="AH21" i="9"/>
  <c r="AF25" i="33" s="1"/>
  <c r="AG21" i="9"/>
  <c r="AE25" i="33" s="1"/>
  <c r="AF21" i="9"/>
  <c r="AD25" i="33" s="1"/>
  <c r="AE21" i="9"/>
  <c r="AC25" i="33"/>
  <c r="AD21" i="9"/>
  <c r="AB25" i="33" s="1"/>
  <c r="AC21" i="9"/>
  <c r="AA25" i="33" s="1"/>
  <c r="AB21" i="9"/>
  <c r="Z25" i="33" s="1"/>
  <c r="AA21" i="9"/>
  <c r="Y25" i="33"/>
  <c r="Y21" i="9"/>
  <c r="W25" i="33" s="1"/>
  <c r="W21" i="9"/>
  <c r="U25" i="33" s="1"/>
  <c r="BW25" i="33" s="1"/>
  <c r="V21" i="9"/>
  <c r="T25" i="33" s="1"/>
  <c r="U21" i="9"/>
  <c r="S25" i="33"/>
  <c r="T21" i="9"/>
  <c r="R25" i="33" s="1"/>
  <c r="S21" i="9"/>
  <c r="Q25" i="33" s="1"/>
  <c r="BX25" i="33" s="1"/>
  <c r="P21" i="9"/>
  <c r="N25" i="33" s="1"/>
  <c r="O21" i="9"/>
  <c r="M25" i="33"/>
  <c r="N21" i="9"/>
  <c r="L25" i="33" s="1"/>
  <c r="BU25" i="33" s="1"/>
  <c r="M21" i="9"/>
  <c r="K25" i="33" s="1"/>
  <c r="L21" i="9"/>
  <c r="J25" i="35" s="1"/>
  <c r="K21" i="9"/>
  <c r="I25" i="35" s="1"/>
  <c r="I25" i="33"/>
  <c r="BJ25" i="33" s="1"/>
  <c r="J21" i="9"/>
  <c r="H25" i="35" s="1"/>
  <c r="I21" i="9"/>
  <c r="G25" i="35" s="1"/>
  <c r="H21" i="9"/>
  <c r="F25" i="35" s="1"/>
  <c r="G21" i="9"/>
  <c r="E25" i="35" s="1"/>
  <c r="E25" i="33"/>
  <c r="F21" i="9"/>
  <c r="D25" i="35" s="1"/>
  <c r="E21" i="9"/>
  <c r="C25" i="35" s="1"/>
  <c r="BB22" i="31"/>
  <c r="AZ2" i="34" s="1"/>
  <c r="BA22" i="31"/>
  <c r="AY2" i="34"/>
  <c r="AZ22" i="31"/>
  <c r="AX2" i="34" s="1"/>
  <c r="AX22" i="31"/>
  <c r="AV2" i="34" s="1"/>
  <c r="AW22" i="31"/>
  <c r="AU2" i="34" s="1"/>
  <c r="AV22" i="31"/>
  <c r="AT2" i="34"/>
  <c r="AU22" i="31"/>
  <c r="AS2" i="34" s="1"/>
  <c r="AT22" i="31"/>
  <c r="AR2" i="34" s="1"/>
  <c r="AS22" i="31"/>
  <c r="AQ2" i="34" s="1"/>
  <c r="AR22" i="31"/>
  <c r="AP2" i="34"/>
  <c r="AQ22" i="31"/>
  <c r="AO2" i="34" s="1"/>
  <c r="AP22" i="31"/>
  <c r="AN2" i="34" s="1"/>
  <c r="AO22" i="31"/>
  <c r="AM2" i="34" s="1"/>
  <c r="AN22" i="31"/>
  <c r="AL2" i="34"/>
  <c r="AM22" i="31"/>
  <c r="AK2" i="34" s="1"/>
  <c r="AL22" i="31"/>
  <c r="AJ2" i="34" s="1"/>
  <c r="AK22" i="31"/>
  <c r="AI2" i="34" s="1"/>
  <c r="AH22" i="31"/>
  <c r="AF2" i="34"/>
  <c r="AG22" i="31"/>
  <c r="AE2" i="34" s="1"/>
  <c r="AF22" i="31"/>
  <c r="AD2" i="34" s="1"/>
  <c r="AD22" i="31"/>
  <c r="AB2" i="34" s="1"/>
  <c r="AC22" i="31"/>
  <c r="AA2" i="34"/>
  <c r="AB22" i="31"/>
  <c r="Z2" i="34" s="1"/>
  <c r="AA22" i="31"/>
  <c r="Y2" i="34" s="1"/>
  <c r="Z22" i="31"/>
  <c r="X2" i="34" s="1"/>
  <c r="Y22" i="31"/>
  <c r="W2" i="34"/>
  <c r="X22" i="31"/>
  <c r="V2" i="34" s="1"/>
  <c r="W22" i="31"/>
  <c r="U2" i="34" s="1"/>
  <c r="V22" i="31"/>
  <c r="T2" i="34" s="1"/>
  <c r="U22" i="31"/>
  <c r="S2" i="34"/>
  <c r="T22" i="31"/>
  <c r="R2" i="34" s="1"/>
  <c r="S22" i="31"/>
  <c r="Q2" i="34" s="1"/>
  <c r="Q22" i="31"/>
  <c r="O2" i="34" s="1"/>
  <c r="P22" i="31"/>
  <c r="N2" i="34"/>
  <c r="O22" i="31"/>
  <c r="M2" i="34" s="1"/>
  <c r="M22" i="31"/>
  <c r="K2" i="34" s="1"/>
  <c r="L22" i="31"/>
  <c r="J2" i="34" s="1"/>
  <c r="K22" i="31"/>
  <c r="I2" i="34"/>
  <c r="J22" i="31"/>
  <c r="H2" i="34" s="1"/>
  <c r="I22" i="31"/>
  <c r="G2" i="34" s="1"/>
  <c r="H22" i="31"/>
  <c r="F2" i="34" s="1"/>
  <c r="G22" i="31"/>
  <c r="E2" i="34"/>
  <c r="F22" i="31"/>
  <c r="D2" i="34" s="1"/>
  <c r="E22" i="31"/>
  <c r="C2" i="34" s="1"/>
  <c r="BB21" i="31"/>
  <c r="AZ2" i="33" s="1"/>
  <c r="BA21" i="31"/>
  <c r="AZ21" i="31"/>
  <c r="AX21" i="31"/>
  <c r="AV2" i="33"/>
  <c r="AW21" i="31"/>
  <c r="AU2" i="33" s="1"/>
  <c r="AV21" i="31"/>
  <c r="AT2" i="33" s="1"/>
  <c r="AU21" i="31"/>
  <c r="AS2" i="33" s="1"/>
  <c r="AT21" i="31"/>
  <c r="AR2" i="33"/>
  <c r="AS21" i="31"/>
  <c r="AQ2" i="33" s="1"/>
  <c r="AR21" i="31"/>
  <c r="AP2" i="33" s="1"/>
  <c r="AQ21" i="31"/>
  <c r="AO2" i="33" s="1"/>
  <c r="AP21" i="31"/>
  <c r="AN2" i="33"/>
  <c r="AO21" i="31"/>
  <c r="AM2" i="33" s="1"/>
  <c r="AN21" i="31"/>
  <c r="AL2" i="33" s="1"/>
  <c r="AM21" i="31"/>
  <c r="AK2" i="33" s="1"/>
  <c r="AL21" i="31"/>
  <c r="AJ2" i="33"/>
  <c r="AK21" i="31"/>
  <c r="AI2" i="33" s="1"/>
  <c r="AH21" i="31"/>
  <c r="AF2" i="33" s="1"/>
  <c r="AG21" i="31"/>
  <c r="AE2" i="33" s="1"/>
  <c r="AF21" i="31"/>
  <c r="AD2" i="33"/>
  <c r="AD21" i="31"/>
  <c r="AB2" i="33" s="1"/>
  <c r="AC21" i="31"/>
  <c r="AA2" i="33" s="1"/>
  <c r="AB21" i="31"/>
  <c r="Z2" i="33" s="1"/>
  <c r="AA21" i="31"/>
  <c r="Y2" i="33"/>
  <c r="Z21" i="31"/>
  <c r="X2" i="33" s="1"/>
  <c r="Y21" i="31"/>
  <c r="W2" i="33" s="1"/>
  <c r="X21" i="31"/>
  <c r="V2" i="33" s="1"/>
  <c r="W21" i="31"/>
  <c r="U2" i="33"/>
  <c r="BW2" i="33" s="1"/>
  <c r="V21" i="31"/>
  <c r="T2" i="33"/>
  <c r="U21" i="31"/>
  <c r="S2" i="33" s="1"/>
  <c r="T21" i="31"/>
  <c r="R2" i="33"/>
  <c r="S21" i="31"/>
  <c r="Q2" i="33" s="1"/>
  <c r="BX2" i="33" s="1"/>
  <c r="R21" i="31"/>
  <c r="P2" i="33"/>
  <c r="Q21" i="31"/>
  <c r="O2" i="33" s="1"/>
  <c r="P21" i="31"/>
  <c r="N2" i="33" s="1"/>
  <c r="O21" i="31"/>
  <c r="M2" i="33" s="1"/>
  <c r="N21" i="31"/>
  <c r="L2" i="33"/>
  <c r="BU2" i="33" s="1"/>
  <c r="M21" i="31"/>
  <c r="K2" i="33" s="1"/>
  <c r="L21" i="31"/>
  <c r="J2" i="35" s="1"/>
  <c r="K21" i="31"/>
  <c r="I2" i="35" s="1"/>
  <c r="I2" i="33"/>
  <c r="BJ2" i="33"/>
  <c r="J21" i="31"/>
  <c r="H2" i="35" s="1"/>
  <c r="I21" i="31"/>
  <c r="H21" i="31"/>
  <c r="F2" i="35" s="1"/>
  <c r="G21" i="31"/>
  <c r="E2" i="35" s="1"/>
  <c r="F21" i="31"/>
  <c r="D2" i="35" s="1"/>
  <c r="D2" i="33"/>
  <c r="E21" i="31"/>
  <c r="C2" i="35" s="1"/>
  <c r="D22" i="5"/>
  <c r="B3" i="34" s="1"/>
  <c r="D22" i="10"/>
  <c r="B4" i="34"/>
  <c r="D22" i="12"/>
  <c r="B5" i="34" s="1"/>
  <c r="D22" i="1"/>
  <c r="B6" i="34"/>
  <c r="D22" i="3"/>
  <c r="B7" i="34" s="1"/>
  <c r="D22" i="4"/>
  <c r="B8" i="34"/>
  <c r="D22" i="22"/>
  <c r="B9" i="34" s="1"/>
  <c r="D22" i="25"/>
  <c r="B10" i="34"/>
  <c r="D22" i="24"/>
  <c r="B11" i="34" s="1"/>
  <c r="D22" i="20"/>
  <c r="B12" i="34"/>
  <c r="D22" i="6"/>
  <c r="B13" i="34" s="1"/>
  <c r="D22" i="8"/>
  <c r="B14" i="34"/>
  <c r="D22" i="19"/>
  <c r="B15" i="34" s="1"/>
  <c r="D22" i="27"/>
  <c r="B16" i="34"/>
  <c r="D22" i="28"/>
  <c r="B17" i="34" s="1"/>
  <c r="D22" i="26"/>
  <c r="B18" i="34"/>
  <c r="D22" i="14"/>
  <c r="B19" i="34" s="1"/>
  <c r="D22" i="13"/>
  <c r="B20" i="34"/>
  <c r="D22" i="29"/>
  <c r="B21" i="34" s="1"/>
  <c r="D22" i="17"/>
  <c r="B22" i="34"/>
  <c r="D22" i="16"/>
  <c r="B23" i="34" s="1"/>
  <c r="D22" i="21"/>
  <c r="B24" i="34"/>
  <c r="D22" i="9"/>
  <c r="B25" i="34" s="1"/>
  <c r="D22" i="31"/>
  <c r="B2" i="34"/>
  <c r="D21" i="5"/>
  <c r="D21" i="10"/>
  <c r="B4" i="35" s="1"/>
  <c r="D21" i="12"/>
  <c r="B5" i="35" s="1"/>
  <c r="B5" i="33"/>
  <c r="D21" i="1"/>
  <c r="B6" i="35" s="1"/>
  <c r="B6" i="33"/>
  <c r="BC6" i="33" s="1"/>
  <c r="D21" i="3"/>
  <c r="B7" i="35" s="1"/>
  <c r="B7" i="33"/>
  <c r="D21" i="4"/>
  <c r="B8" i="35" s="1"/>
  <c r="B8" i="33"/>
  <c r="D21" i="22"/>
  <c r="B9" i="35" s="1"/>
  <c r="B9" i="33"/>
  <c r="D21" i="25"/>
  <c r="B10" i="35" s="1"/>
  <c r="B10" i="33"/>
  <c r="D21" i="24"/>
  <c r="B11" i="35" s="1"/>
  <c r="B11" i="33"/>
  <c r="D21" i="20"/>
  <c r="B12" i="35" s="1"/>
  <c r="B12" i="33"/>
  <c r="D21" i="6"/>
  <c r="B13" i="35" s="1"/>
  <c r="B13" i="33"/>
  <c r="D21" i="8"/>
  <c r="B14" i="35" s="1"/>
  <c r="B14" i="33"/>
  <c r="D21" i="19"/>
  <c r="B15" i="35" s="1"/>
  <c r="B15" i="33"/>
  <c r="D21" i="27"/>
  <c r="B16" i="35" s="1"/>
  <c r="B16" i="33"/>
  <c r="D21" i="28"/>
  <c r="B17" i="35" s="1"/>
  <c r="B17" i="33"/>
  <c r="D21" i="26"/>
  <c r="B18" i="35" s="1"/>
  <c r="B18" i="33"/>
  <c r="D21" i="14"/>
  <c r="B19" i="35" s="1"/>
  <c r="B19" i="33"/>
  <c r="D21" i="13"/>
  <c r="B20" i="35" s="1"/>
  <c r="B20" i="33"/>
  <c r="D21" i="29"/>
  <c r="B21" i="35" s="1"/>
  <c r="B21" i="33"/>
  <c r="D21" i="17"/>
  <c r="B22" i="35" s="1"/>
  <c r="B22" i="33"/>
  <c r="D21" i="16"/>
  <c r="B23" i="35" s="1"/>
  <c r="B23" i="33"/>
  <c r="D21" i="21"/>
  <c r="D21" i="9"/>
  <c r="B25" i="35" s="1"/>
  <c r="B25" i="33"/>
  <c r="D21" i="31"/>
  <c r="BM38" i="32"/>
  <c r="BL38" i="32"/>
  <c r="BK38" i="32"/>
  <c r="BJ38" i="32"/>
  <c r="BI38" i="32"/>
  <c r="BO38" i="32"/>
  <c r="BH38" i="32"/>
  <c r="BG38" i="32"/>
  <c r="BF38" i="32"/>
  <c r="BN38" i="32" s="1"/>
  <c r="BP38" i="32" s="1"/>
  <c r="BD38" i="32"/>
  <c r="BC38" i="32"/>
  <c r="BB38" i="32"/>
  <c r="BA38" i="32"/>
  <c r="AZ38" i="32"/>
  <c r="AY38" i="32"/>
  <c r="AX38" i="32"/>
  <c r="AW38" i="32"/>
  <c r="AV38" i="32"/>
  <c r="AU38" i="32"/>
  <c r="AT38" i="32"/>
  <c r="AS38" i="32"/>
  <c r="AR38" i="32"/>
  <c r="AQ38" i="32"/>
  <c r="AP38" i="32"/>
  <c r="AO38" i="32"/>
  <c r="AN38" i="32"/>
  <c r="BM37" i="32"/>
  <c r="BL37" i="32"/>
  <c r="BK37" i="32"/>
  <c r="BJ37" i="32"/>
  <c r="BI37" i="32"/>
  <c r="BH37" i="32"/>
  <c r="BG37" i="32"/>
  <c r="BN37" i="32" s="1"/>
  <c r="BF37" i="32"/>
  <c r="BD37" i="32"/>
  <c r="BC37" i="32"/>
  <c r="BB37" i="32"/>
  <c r="BA37" i="32"/>
  <c r="AZ37" i="32"/>
  <c r="AY37" i="32"/>
  <c r="AX37" i="32"/>
  <c r="AW37" i="32"/>
  <c r="AV37" i="32"/>
  <c r="AU37" i="32"/>
  <c r="AT37" i="32"/>
  <c r="AS37" i="32"/>
  <c r="AR37" i="32"/>
  <c r="AQ37" i="32"/>
  <c r="AP37" i="32"/>
  <c r="AO37" i="32"/>
  <c r="AN37" i="32"/>
  <c r="BM36" i="32"/>
  <c r="BL36" i="32"/>
  <c r="BK36" i="32"/>
  <c r="BJ36" i="32"/>
  <c r="BI36" i="32"/>
  <c r="BH36" i="32"/>
  <c r="BG36" i="32"/>
  <c r="BF36" i="32"/>
  <c r="BD36" i="32"/>
  <c r="BC36" i="32"/>
  <c r="BB36" i="32"/>
  <c r="BA36" i="32"/>
  <c r="AZ36" i="32"/>
  <c r="AY36" i="32"/>
  <c r="AX36" i="32"/>
  <c r="AW36" i="32"/>
  <c r="AV36" i="32"/>
  <c r="AU36" i="32"/>
  <c r="AT36" i="32"/>
  <c r="AS36" i="32"/>
  <c r="AR36" i="32"/>
  <c r="AQ36" i="32"/>
  <c r="AP36" i="32"/>
  <c r="AO36" i="32"/>
  <c r="AN36" i="32"/>
  <c r="BM35" i="32"/>
  <c r="BL35" i="32"/>
  <c r="BK35" i="32"/>
  <c r="BJ35" i="32"/>
  <c r="BI35" i="32"/>
  <c r="BH35" i="32"/>
  <c r="BG35" i="32"/>
  <c r="BN35" i="32" s="1"/>
  <c r="BF35" i="32"/>
  <c r="BD35" i="32"/>
  <c r="BC35" i="32"/>
  <c r="BB35" i="32"/>
  <c r="BA35" i="32"/>
  <c r="AZ35" i="32"/>
  <c r="AY35" i="32"/>
  <c r="AX35" i="32"/>
  <c r="AW35" i="32"/>
  <c r="AV35" i="32"/>
  <c r="AU35" i="32"/>
  <c r="AT35" i="32"/>
  <c r="AS35" i="32"/>
  <c r="AR35" i="32"/>
  <c r="AQ35" i="32"/>
  <c r="AP35" i="32"/>
  <c r="AO35" i="32"/>
  <c r="AN35" i="32"/>
  <c r="BM34" i="32"/>
  <c r="BL34" i="32"/>
  <c r="BK34" i="32"/>
  <c r="BJ34" i="32"/>
  <c r="BI34" i="32"/>
  <c r="BH34" i="32"/>
  <c r="BG34" i="32"/>
  <c r="BN34" i="32"/>
  <c r="BF34" i="32"/>
  <c r="BD34" i="32"/>
  <c r="BC34" i="32"/>
  <c r="BB34" i="32"/>
  <c r="BA34" i="32"/>
  <c r="AZ34" i="32"/>
  <c r="AY34" i="32"/>
  <c r="AX34" i="32"/>
  <c r="AW34" i="32"/>
  <c r="AV34" i="32"/>
  <c r="AU34" i="32"/>
  <c r="AT34" i="32"/>
  <c r="AS34" i="32"/>
  <c r="AR34" i="32"/>
  <c r="AQ34" i="32"/>
  <c r="AP34" i="32"/>
  <c r="AO34" i="32"/>
  <c r="AN34" i="32"/>
  <c r="BM33" i="32"/>
  <c r="BL33" i="32"/>
  <c r="BK33" i="32"/>
  <c r="BJ33" i="32"/>
  <c r="BI33" i="32"/>
  <c r="BH33" i="32"/>
  <c r="BN33" i="32" s="1"/>
  <c r="BG33" i="32"/>
  <c r="BF33" i="32"/>
  <c r="BD33" i="32"/>
  <c r="BC33" i="32"/>
  <c r="BB33" i="32"/>
  <c r="BA33" i="32"/>
  <c r="AZ33" i="32"/>
  <c r="AY33" i="32"/>
  <c r="AX33" i="32"/>
  <c r="AW33" i="32"/>
  <c r="AV33" i="32"/>
  <c r="AU33" i="32"/>
  <c r="AT33" i="32"/>
  <c r="AS33" i="32"/>
  <c r="AR33" i="32"/>
  <c r="AQ33" i="32"/>
  <c r="AP33" i="32"/>
  <c r="AO33" i="32"/>
  <c r="AN33" i="32"/>
  <c r="BM32" i="32"/>
  <c r="BL32" i="32"/>
  <c r="BK32" i="32"/>
  <c r="BJ32" i="32"/>
  <c r="BI32" i="32"/>
  <c r="BH32" i="32"/>
  <c r="BG32" i="32"/>
  <c r="BF32" i="32"/>
  <c r="BN32" i="32"/>
  <c r="BD32" i="32"/>
  <c r="BC32" i="32"/>
  <c r="BB32" i="32"/>
  <c r="BA32" i="32"/>
  <c r="AZ32" i="32"/>
  <c r="AY32" i="32"/>
  <c r="AX32" i="32"/>
  <c r="AW32" i="32"/>
  <c r="AV32" i="32"/>
  <c r="AU32" i="32"/>
  <c r="AT32" i="32"/>
  <c r="AS32" i="32"/>
  <c r="AR32" i="32"/>
  <c r="AQ32" i="32"/>
  <c r="AP32" i="32"/>
  <c r="AO32" i="32"/>
  <c r="AN32" i="32"/>
  <c r="BM31" i="32"/>
  <c r="BL31" i="32"/>
  <c r="BK31" i="32"/>
  <c r="BJ31" i="32"/>
  <c r="BI31" i="32"/>
  <c r="BH31" i="32"/>
  <c r="BG31" i="32"/>
  <c r="BF31" i="32"/>
  <c r="BD31" i="32"/>
  <c r="BC31" i="32"/>
  <c r="BB31" i="32"/>
  <c r="BA31" i="32"/>
  <c r="AZ31" i="32"/>
  <c r="AY31" i="32"/>
  <c r="AX31" i="32"/>
  <c r="AW31" i="32"/>
  <c r="AV31" i="32"/>
  <c r="AU31" i="32"/>
  <c r="AT31" i="32"/>
  <c r="AS31" i="32"/>
  <c r="AR31" i="32"/>
  <c r="AQ31" i="32"/>
  <c r="AP31" i="32"/>
  <c r="AO31" i="32"/>
  <c r="AN31" i="32"/>
  <c r="BM30" i="32"/>
  <c r="BL30" i="32"/>
  <c r="BK30" i="32"/>
  <c r="BJ30" i="32"/>
  <c r="BI30" i="32"/>
  <c r="BO30" i="32"/>
  <c r="BH30" i="32"/>
  <c r="BG30" i="32"/>
  <c r="BF30" i="32"/>
  <c r="BD30" i="32"/>
  <c r="BC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BM29" i="32"/>
  <c r="BL29" i="32"/>
  <c r="BK29" i="32"/>
  <c r="BJ29" i="32"/>
  <c r="BI29" i="32"/>
  <c r="BH29" i="32"/>
  <c r="BG29" i="32"/>
  <c r="BF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BM28" i="32"/>
  <c r="BL28" i="32"/>
  <c r="BK28" i="32"/>
  <c r="BJ28" i="32"/>
  <c r="BI28" i="32"/>
  <c r="BH28" i="32"/>
  <c r="BG28" i="32"/>
  <c r="BF28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BM27" i="32"/>
  <c r="BL27" i="32"/>
  <c r="BK27" i="32"/>
  <c r="BJ27" i="32"/>
  <c r="BI27" i="32"/>
  <c r="BH27" i="32"/>
  <c r="BG27" i="32"/>
  <c r="BF27" i="32"/>
  <c r="BN27" i="32" s="1"/>
  <c r="BD27" i="32"/>
  <c r="BC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BM26" i="32"/>
  <c r="BL26" i="32"/>
  <c r="BK26" i="32"/>
  <c r="BJ26" i="32"/>
  <c r="BI26" i="32"/>
  <c r="BH26" i="32"/>
  <c r="BG26" i="32"/>
  <c r="BF26" i="32"/>
  <c r="BD26" i="32"/>
  <c r="BC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BM25" i="32"/>
  <c r="BL25" i="32"/>
  <c r="BK25" i="32"/>
  <c r="BJ25" i="32"/>
  <c r="BO25" i="32" s="1"/>
  <c r="BI25" i="32"/>
  <c r="BH25" i="32"/>
  <c r="BG25" i="32"/>
  <c r="BF25" i="32"/>
  <c r="BD25" i="32"/>
  <c r="BC25" i="32"/>
  <c r="BB25" i="32"/>
  <c r="BA25" i="32"/>
  <c r="AZ25" i="32"/>
  <c r="AY25" i="32"/>
  <c r="AX25" i="32"/>
  <c r="AW25" i="32"/>
  <c r="AV25" i="32"/>
  <c r="AU25" i="32"/>
  <c r="AT25" i="32"/>
  <c r="AS25" i="32"/>
  <c r="AR25" i="32"/>
  <c r="AQ25" i="32"/>
  <c r="AP25" i="32"/>
  <c r="AO25" i="32"/>
  <c r="AN25" i="32"/>
  <c r="BM24" i="32"/>
  <c r="BL24" i="32"/>
  <c r="BK24" i="32"/>
  <c r="BJ24" i="32"/>
  <c r="BI24" i="32"/>
  <c r="BH24" i="32"/>
  <c r="BG24" i="32"/>
  <c r="BF24" i="32"/>
  <c r="BN24" i="32" s="1"/>
  <c r="BD24" i="32"/>
  <c r="BC24" i="32"/>
  <c r="BB24" i="32"/>
  <c r="BA24" i="32"/>
  <c r="AZ24" i="32"/>
  <c r="AY24" i="32"/>
  <c r="AX24" i="32"/>
  <c r="AW24" i="32"/>
  <c r="AV24" i="32"/>
  <c r="AU24" i="32"/>
  <c r="AT24" i="32"/>
  <c r="AS24" i="32"/>
  <c r="AR24" i="32"/>
  <c r="AQ24" i="32"/>
  <c r="AP24" i="32"/>
  <c r="AO24" i="32"/>
  <c r="AN24" i="32"/>
  <c r="BM23" i="32"/>
  <c r="BL23" i="32"/>
  <c r="BK23" i="32"/>
  <c r="BJ23" i="32"/>
  <c r="BI23" i="32"/>
  <c r="BH23" i="32"/>
  <c r="BG23" i="32"/>
  <c r="BF23" i="32"/>
  <c r="BD23" i="32"/>
  <c r="BC23" i="32"/>
  <c r="BB23" i="32"/>
  <c r="BA23" i="32"/>
  <c r="AZ23" i="32"/>
  <c r="AY23" i="32"/>
  <c r="AX23" i="32"/>
  <c r="AW23" i="32"/>
  <c r="AV23" i="32"/>
  <c r="AU23" i="32"/>
  <c r="AT23" i="32"/>
  <c r="AS23" i="32"/>
  <c r="AR23" i="32"/>
  <c r="AQ23" i="32"/>
  <c r="AP23" i="32"/>
  <c r="AO23" i="32"/>
  <c r="AN23" i="32"/>
  <c r="BM22" i="32"/>
  <c r="BL22" i="32"/>
  <c r="BK22" i="32"/>
  <c r="BJ22" i="32"/>
  <c r="BI22" i="32"/>
  <c r="BH22" i="32"/>
  <c r="BG22" i="32"/>
  <c r="BF22" i="32"/>
  <c r="BD22" i="32"/>
  <c r="BC22" i="32"/>
  <c r="BB22" i="32"/>
  <c r="BA22" i="32"/>
  <c r="AZ22" i="32"/>
  <c r="AY22" i="32"/>
  <c r="AX22" i="32"/>
  <c r="AW22" i="32"/>
  <c r="AV22" i="32"/>
  <c r="AU22" i="32"/>
  <c r="AT22" i="32"/>
  <c r="AS22" i="32"/>
  <c r="AR22" i="32"/>
  <c r="AQ22" i="32"/>
  <c r="AP22" i="32"/>
  <c r="AO22" i="32"/>
  <c r="AN22" i="32"/>
  <c r="BM21" i="32"/>
  <c r="BL21" i="32"/>
  <c r="BK21" i="32"/>
  <c r="BJ21" i="32"/>
  <c r="BI21" i="32"/>
  <c r="BO21" i="32" s="1"/>
  <c r="BH21" i="32"/>
  <c r="BG21" i="32"/>
  <c r="BF21" i="32"/>
  <c r="BD21" i="32"/>
  <c r="BC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BM20" i="32"/>
  <c r="BL20" i="32"/>
  <c r="BK20" i="32"/>
  <c r="BJ20" i="32"/>
  <c r="BI20" i="32"/>
  <c r="BH20" i="32"/>
  <c r="BG20" i="32"/>
  <c r="BF20" i="32"/>
  <c r="BD20" i="32"/>
  <c r="BC20" i="32"/>
  <c r="BB20" i="32"/>
  <c r="BA20" i="32"/>
  <c r="AZ20" i="32"/>
  <c r="AY20" i="32"/>
  <c r="AX20" i="32"/>
  <c r="AW20" i="32"/>
  <c r="AV20" i="32"/>
  <c r="AU20" i="32"/>
  <c r="AT20" i="32"/>
  <c r="AS20" i="32"/>
  <c r="AR20" i="32"/>
  <c r="AQ20" i="32"/>
  <c r="AP20" i="32"/>
  <c r="AO20" i="32"/>
  <c r="AN20" i="32"/>
  <c r="BM19" i="32"/>
  <c r="BL19" i="32"/>
  <c r="BK19" i="32"/>
  <c r="BJ19" i="32"/>
  <c r="BI19" i="32"/>
  <c r="BH19" i="32"/>
  <c r="BG19" i="32"/>
  <c r="BF19" i="32"/>
  <c r="BD19" i="32"/>
  <c r="BC19" i="32"/>
  <c r="BB19" i="32"/>
  <c r="BA19" i="32"/>
  <c r="AZ19" i="32"/>
  <c r="AY19" i="32"/>
  <c r="AX19" i="32"/>
  <c r="AW19" i="32"/>
  <c r="AV19" i="32"/>
  <c r="AU19" i="32"/>
  <c r="AT19" i="32"/>
  <c r="AS19" i="32"/>
  <c r="AR19" i="32"/>
  <c r="AQ19" i="32"/>
  <c r="AP19" i="32"/>
  <c r="AO19" i="32"/>
  <c r="AN19" i="32"/>
  <c r="BM18" i="32"/>
  <c r="BL18" i="32"/>
  <c r="BK18" i="32"/>
  <c r="BJ18" i="32"/>
  <c r="BI18" i="32"/>
  <c r="BH18" i="32"/>
  <c r="BG18" i="32"/>
  <c r="BF18" i="32"/>
  <c r="BN18" i="32" s="1"/>
  <c r="BD18" i="32"/>
  <c r="BC18" i="32"/>
  <c r="BB18" i="32"/>
  <c r="BA18" i="32"/>
  <c r="AZ18" i="32"/>
  <c r="AY18" i="32"/>
  <c r="AX18" i="32"/>
  <c r="AW18" i="32"/>
  <c r="AV18" i="32"/>
  <c r="AU18" i="32"/>
  <c r="AT18" i="32"/>
  <c r="AS18" i="32"/>
  <c r="AR18" i="32"/>
  <c r="AQ18" i="32"/>
  <c r="AP18" i="32"/>
  <c r="AO18" i="32"/>
  <c r="AN18" i="32"/>
  <c r="BM17" i="32"/>
  <c r="BL17" i="32"/>
  <c r="BK17" i="32"/>
  <c r="BJ17" i="32"/>
  <c r="BI17" i="32"/>
  <c r="BH17" i="32"/>
  <c r="BG17" i="32"/>
  <c r="BF17" i="32"/>
  <c r="AR17" i="32"/>
  <c r="AQ17" i="32"/>
  <c r="AP17" i="32"/>
  <c r="AO17" i="32"/>
  <c r="AN17" i="32"/>
  <c r="H17" i="32"/>
  <c r="BC17" i="32" s="1"/>
  <c r="BM16" i="32"/>
  <c r="BL16" i="32"/>
  <c r="BK16" i="32"/>
  <c r="BJ16" i="32"/>
  <c r="BI16" i="32"/>
  <c r="BO16" i="32" s="1"/>
  <c r="BH16" i="32"/>
  <c r="BG16" i="32"/>
  <c r="BF16" i="32"/>
  <c r="BN16" i="32" s="1"/>
  <c r="BC16" i="32"/>
  <c r="AR16" i="32"/>
  <c r="AQ16" i="32"/>
  <c r="AP16" i="32"/>
  <c r="AO16" i="32"/>
  <c r="AN16" i="32"/>
  <c r="H16" i="32"/>
  <c r="BM15" i="32"/>
  <c r="BL15" i="32"/>
  <c r="BK15" i="32"/>
  <c r="BJ15" i="32"/>
  <c r="BI15" i="32"/>
  <c r="BH15" i="32"/>
  <c r="BG15" i="32"/>
  <c r="BF15" i="32"/>
  <c r="AR15" i="32"/>
  <c r="AQ15" i="32"/>
  <c r="AP15" i="32"/>
  <c r="AO15" i="32"/>
  <c r="AN15" i="32"/>
  <c r="H15" i="32"/>
  <c r="AX15" i="32" s="1"/>
  <c r="BM14" i="32"/>
  <c r="BL14" i="32"/>
  <c r="BK14" i="32"/>
  <c r="BJ14" i="32"/>
  <c r="BI14" i="32"/>
  <c r="BO14" i="32" s="1"/>
  <c r="BP14" i="32" s="1"/>
  <c r="BR14" i="32" s="1"/>
  <c r="BH14" i="32"/>
  <c r="BG14" i="32"/>
  <c r="BF14" i="32"/>
  <c r="BD14" i="32"/>
  <c r="AR14" i="32"/>
  <c r="AQ14" i="32"/>
  <c r="AP14" i="32"/>
  <c r="AO14" i="32"/>
  <c r="AN14" i="32"/>
  <c r="H14" i="32"/>
  <c r="BB14" i="32"/>
  <c r="BM13" i="32"/>
  <c r="BL13" i="32"/>
  <c r="BK13" i="32"/>
  <c r="BJ13" i="32"/>
  <c r="BI13" i="32"/>
  <c r="BO13" i="32" s="1"/>
  <c r="BH13" i="32"/>
  <c r="BG13" i="32"/>
  <c r="BF13" i="32"/>
  <c r="BN13" i="32" s="1"/>
  <c r="BP13" i="32" s="1"/>
  <c r="AR13" i="32"/>
  <c r="AQ13" i="32"/>
  <c r="AP13" i="32"/>
  <c r="AO13" i="32"/>
  <c r="AN13" i="32"/>
  <c r="H13" i="32"/>
  <c r="BM12" i="32"/>
  <c r="BL12" i="32"/>
  <c r="BK12" i="32"/>
  <c r="BJ12" i="32"/>
  <c r="BI12" i="32"/>
  <c r="BO12" i="32"/>
  <c r="BH12" i="32"/>
  <c r="BG12" i="32"/>
  <c r="BF12" i="32"/>
  <c r="AV12" i="32"/>
  <c r="AR12" i="32"/>
  <c r="AQ12" i="32"/>
  <c r="AP12" i="32"/>
  <c r="AO12" i="32"/>
  <c r="AN12" i="32"/>
  <c r="H12" i="32"/>
  <c r="BD12" i="32"/>
  <c r="BC12" i="32"/>
  <c r="BM11" i="32"/>
  <c r="BL11" i="32"/>
  <c r="BK11" i="32"/>
  <c r="BJ11" i="32"/>
  <c r="BI11" i="32"/>
  <c r="BH11" i="32"/>
  <c r="BG11" i="32"/>
  <c r="BF11" i="32"/>
  <c r="BN11" i="32" s="1"/>
  <c r="AR11" i="32"/>
  <c r="AQ11" i="32"/>
  <c r="AP11" i="32"/>
  <c r="AO11" i="32"/>
  <c r="AN11" i="32"/>
  <c r="H11" i="32"/>
  <c r="AX11" i="32" s="1"/>
  <c r="AS4" i="32"/>
  <c r="AR4" i="32"/>
  <c r="AO4" i="32"/>
  <c r="AO3" i="32"/>
  <c r="BM38" i="30"/>
  <c r="BL38" i="30"/>
  <c r="BK38" i="30"/>
  <c r="BJ38" i="30"/>
  <c r="BI38" i="30"/>
  <c r="BO38" i="30" s="1"/>
  <c r="BH38" i="30"/>
  <c r="BG38" i="30"/>
  <c r="BF38" i="30"/>
  <c r="BD38" i="30"/>
  <c r="BC38" i="30"/>
  <c r="BB38" i="30"/>
  <c r="BA38" i="30"/>
  <c r="AZ38" i="30"/>
  <c r="AY38" i="30"/>
  <c r="AX38" i="30"/>
  <c r="AW38" i="30"/>
  <c r="AV38" i="30"/>
  <c r="AU38" i="30"/>
  <c r="AT38" i="30"/>
  <c r="AS38" i="30"/>
  <c r="AR38" i="30"/>
  <c r="AQ38" i="30"/>
  <c r="AP38" i="30"/>
  <c r="AO38" i="30"/>
  <c r="AN38" i="30"/>
  <c r="BM37" i="30"/>
  <c r="BL37" i="30"/>
  <c r="BK37" i="30"/>
  <c r="BJ37" i="30"/>
  <c r="BI37" i="30"/>
  <c r="BO37" i="30" s="1"/>
  <c r="BH37" i="30"/>
  <c r="BG37" i="30"/>
  <c r="BN37" i="30" s="1"/>
  <c r="BF37" i="30"/>
  <c r="BD37" i="30"/>
  <c r="BC37" i="30"/>
  <c r="BB37" i="30"/>
  <c r="BA37" i="30"/>
  <c r="AZ37" i="30"/>
  <c r="AY37" i="30"/>
  <c r="AX37" i="30"/>
  <c r="AW37" i="30"/>
  <c r="AV37" i="30"/>
  <c r="AU37" i="30"/>
  <c r="AT37" i="30"/>
  <c r="AS37" i="30"/>
  <c r="AR37" i="30"/>
  <c r="AQ37" i="30"/>
  <c r="AP37" i="30"/>
  <c r="AO37" i="30"/>
  <c r="AN37" i="30"/>
  <c r="BM36" i="30"/>
  <c r="BL36" i="30"/>
  <c r="BK36" i="30"/>
  <c r="BO36" i="30"/>
  <c r="BJ36" i="30"/>
  <c r="BI36" i="30"/>
  <c r="BH36" i="30"/>
  <c r="BG36" i="30"/>
  <c r="BF36" i="30"/>
  <c r="BN36" i="30" s="1"/>
  <c r="BD36" i="30"/>
  <c r="BC36" i="30"/>
  <c r="BB36" i="30"/>
  <c r="BA36" i="30"/>
  <c r="AZ36" i="30"/>
  <c r="AY36" i="30"/>
  <c r="AX36" i="30"/>
  <c r="AW36" i="30"/>
  <c r="AV36" i="30"/>
  <c r="AU36" i="30"/>
  <c r="AT36" i="30"/>
  <c r="AS36" i="30"/>
  <c r="AR36" i="30"/>
  <c r="AQ36" i="30"/>
  <c r="AP36" i="30"/>
  <c r="AO36" i="30"/>
  <c r="AN36" i="30"/>
  <c r="BM35" i="30"/>
  <c r="BL35" i="30"/>
  <c r="BK35" i="30"/>
  <c r="BO35" i="30" s="1"/>
  <c r="BJ35" i="30"/>
  <c r="BI35" i="30"/>
  <c r="BH35" i="30"/>
  <c r="BN35" i="30" s="1"/>
  <c r="BP35" i="30" s="1"/>
  <c r="BR35" i="30" s="1"/>
  <c r="BG35" i="30"/>
  <c r="BF35" i="30"/>
  <c r="BD35" i="30"/>
  <c r="BC35" i="30"/>
  <c r="BB35" i="30"/>
  <c r="BA35" i="30"/>
  <c r="AZ35" i="30"/>
  <c r="AY35" i="30"/>
  <c r="AX35" i="30"/>
  <c r="AW35" i="30"/>
  <c r="AV35" i="30"/>
  <c r="AU35" i="30"/>
  <c r="AT35" i="30"/>
  <c r="AS35" i="30"/>
  <c r="AR35" i="30"/>
  <c r="AQ35" i="30"/>
  <c r="AP35" i="30"/>
  <c r="AO35" i="30"/>
  <c r="AN35" i="30"/>
  <c r="BM34" i="30"/>
  <c r="BL34" i="30"/>
  <c r="BK34" i="30"/>
  <c r="BJ34" i="30"/>
  <c r="BI34" i="30"/>
  <c r="BH34" i="30"/>
  <c r="BG34" i="30"/>
  <c r="BF34" i="30"/>
  <c r="BN34" i="30" s="1"/>
  <c r="BD34" i="30"/>
  <c r="BC34" i="30"/>
  <c r="BB34" i="30"/>
  <c r="BA34" i="30"/>
  <c r="AZ34" i="30"/>
  <c r="AY34" i="30"/>
  <c r="AX34" i="30"/>
  <c r="AW34" i="30"/>
  <c r="AV34" i="30"/>
  <c r="AU34" i="30"/>
  <c r="AT34" i="30"/>
  <c r="AS34" i="30"/>
  <c r="AR34" i="30"/>
  <c r="AQ34" i="30"/>
  <c r="AP34" i="30"/>
  <c r="AO34" i="30"/>
  <c r="AN34" i="30"/>
  <c r="BM33" i="30"/>
  <c r="BL33" i="30"/>
  <c r="BK33" i="30"/>
  <c r="BJ33" i="30"/>
  <c r="BI33" i="30"/>
  <c r="BO33" i="30" s="1"/>
  <c r="BH33" i="30"/>
  <c r="BG33" i="30"/>
  <c r="BF33" i="30"/>
  <c r="BN33" i="30" s="1"/>
  <c r="BD33" i="30"/>
  <c r="BC33" i="30"/>
  <c r="BB33" i="30"/>
  <c r="BA33" i="30"/>
  <c r="AZ33" i="30"/>
  <c r="AY33" i="30"/>
  <c r="AX33" i="30"/>
  <c r="AW33" i="30"/>
  <c r="AV33" i="30"/>
  <c r="AU33" i="30"/>
  <c r="AT33" i="30"/>
  <c r="AS33" i="30"/>
  <c r="AR33" i="30"/>
  <c r="AQ33" i="30"/>
  <c r="AP33" i="30"/>
  <c r="AO33" i="30"/>
  <c r="AN33" i="30"/>
  <c r="BM32" i="30"/>
  <c r="BL32" i="30"/>
  <c r="BK32" i="30"/>
  <c r="BJ32" i="30"/>
  <c r="BI32" i="30"/>
  <c r="BH32" i="30"/>
  <c r="BG32" i="30"/>
  <c r="BN32" i="30" s="1"/>
  <c r="BF32" i="30"/>
  <c r="BD32" i="30"/>
  <c r="BC32" i="30"/>
  <c r="BB32" i="30"/>
  <c r="BA32" i="30"/>
  <c r="AZ32" i="30"/>
  <c r="AY32" i="30"/>
  <c r="AX32" i="30"/>
  <c r="AW32" i="30"/>
  <c r="AV32" i="30"/>
  <c r="AU32" i="30"/>
  <c r="AT32" i="30"/>
  <c r="AS32" i="30"/>
  <c r="AR32" i="30"/>
  <c r="AQ32" i="30"/>
  <c r="AP32" i="30"/>
  <c r="AO32" i="30"/>
  <c r="AN32" i="30"/>
  <c r="BM31" i="30"/>
  <c r="BL31" i="30"/>
  <c r="BK31" i="30"/>
  <c r="BJ31" i="30"/>
  <c r="BI31" i="30"/>
  <c r="BO31" i="30" s="1"/>
  <c r="BH31" i="30"/>
  <c r="BG31" i="30"/>
  <c r="BF31" i="30"/>
  <c r="BN31" i="30" s="1"/>
  <c r="BP31" i="30" s="1"/>
  <c r="BR31" i="30" s="1"/>
  <c r="BD31" i="30"/>
  <c r="BC31" i="30"/>
  <c r="BB31" i="30"/>
  <c r="BA31" i="30"/>
  <c r="AZ31" i="30"/>
  <c r="AY31" i="30"/>
  <c r="AX31" i="30"/>
  <c r="AW31" i="30"/>
  <c r="AV31" i="30"/>
  <c r="AU31" i="30"/>
  <c r="AT31" i="30"/>
  <c r="AS31" i="30"/>
  <c r="AR31" i="30"/>
  <c r="AQ31" i="30"/>
  <c r="AP31" i="30"/>
  <c r="AO31" i="30"/>
  <c r="AN31" i="30"/>
  <c r="BM30" i="30"/>
  <c r="BL30" i="30"/>
  <c r="BK30" i="30"/>
  <c r="BJ30" i="30"/>
  <c r="BI30" i="30"/>
  <c r="BH30" i="30"/>
  <c r="BG30" i="30"/>
  <c r="BF30" i="30"/>
  <c r="BN30" i="30" s="1"/>
  <c r="BD30" i="30"/>
  <c r="BC30" i="30"/>
  <c r="BB30" i="30"/>
  <c r="BA30" i="30"/>
  <c r="AZ30" i="30"/>
  <c r="AY30" i="30"/>
  <c r="AX30" i="30"/>
  <c r="AW30" i="30"/>
  <c r="AV30" i="30"/>
  <c r="AU30" i="30"/>
  <c r="AT30" i="30"/>
  <c r="AS30" i="30"/>
  <c r="AR30" i="30"/>
  <c r="AQ30" i="30"/>
  <c r="AP30" i="30"/>
  <c r="AO30" i="30"/>
  <c r="AN30" i="30"/>
  <c r="BM29" i="30"/>
  <c r="BL29" i="30"/>
  <c r="BK29" i="30"/>
  <c r="BJ29" i="30"/>
  <c r="BI29" i="30"/>
  <c r="BO29" i="30" s="1"/>
  <c r="BH29" i="30"/>
  <c r="BG29" i="30"/>
  <c r="BF29" i="30"/>
  <c r="BN29" i="30" s="1"/>
  <c r="BP29" i="30" s="1"/>
  <c r="BR29" i="30" s="1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BM28" i="30"/>
  <c r="BL28" i="30"/>
  <c r="BK28" i="30"/>
  <c r="BJ28" i="30"/>
  <c r="BI28" i="30"/>
  <c r="BO28" i="30" s="1"/>
  <c r="BH28" i="30"/>
  <c r="BG28" i="30"/>
  <c r="BF28" i="30"/>
  <c r="BN28" i="30" s="1"/>
  <c r="BD28" i="30"/>
  <c r="BC28" i="30"/>
  <c r="BB28" i="30"/>
  <c r="BA28" i="30"/>
  <c r="AZ28" i="30"/>
  <c r="AY28" i="30"/>
  <c r="AX28" i="30"/>
  <c r="AW28" i="30"/>
  <c r="AV28" i="30"/>
  <c r="AU28" i="30"/>
  <c r="AT28" i="30"/>
  <c r="AS28" i="30"/>
  <c r="AR28" i="30"/>
  <c r="AQ28" i="30"/>
  <c r="AP28" i="30"/>
  <c r="AO28" i="30"/>
  <c r="AN28" i="30"/>
  <c r="BM27" i="30"/>
  <c r="BL27" i="30"/>
  <c r="BK27" i="30"/>
  <c r="BJ27" i="30"/>
  <c r="BI27" i="30"/>
  <c r="BO27" i="30" s="1"/>
  <c r="BH27" i="30"/>
  <c r="BG27" i="30"/>
  <c r="BF27" i="30"/>
  <c r="BN27" i="30" s="1"/>
  <c r="BP27" i="30" s="1"/>
  <c r="BR27" i="30" s="1"/>
  <c r="BD27" i="30"/>
  <c r="BC27" i="30"/>
  <c r="BB27" i="30"/>
  <c r="BA27" i="30"/>
  <c r="AZ27" i="30"/>
  <c r="AY27" i="30"/>
  <c r="AX27" i="30"/>
  <c r="AW27" i="30"/>
  <c r="AV27" i="30"/>
  <c r="AU27" i="30"/>
  <c r="AT27" i="30"/>
  <c r="AS27" i="30"/>
  <c r="AR27" i="30"/>
  <c r="AQ27" i="30"/>
  <c r="AP27" i="30"/>
  <c r="AO27" i="30"/>
  <c r="AN27" i="30"/>
  <c r="BM26" i="30"/>
  <c r="BL26" i="30"/>
  <c r="BK26" i="30"/>
  <c r="BJ26" i="30"/>
  <c r="BI26" i="30"/>
  <c r="BH26" i="30"/>
  <c r="BG26" i="30"/>
  <c r="BN26" i="30" s="1"/>
  <c r="BF26" i="30"/>
  <c r="BD26" i="30"/>
  <c r="BC26" i="30"/>
  <c r="BB26" i="30"/>
  <c r="BA26" i="30"/>
  <c r="AZ26" i="30"/>
  <c r="AY26" i="30"/>
  <c r="AX26" i="30"/>
  <c r="AW26" i="30"/>
  <c r="AV26" i="30"/>
  <c r="AU26" i="30"/>
  <c r="AT26" i="30"/>
  <c r="AS26" i="30"/>
  <c r="AR26" i="30"/>
  <c r="AQ26" i="30"/>
  <c r="AP26" i="30"/>
  <c r="AO26" i="30"/>
  <c r="AN26" i="30"/>
  <c r="BM25" i="30"/>
  <c r="BL25" i="30"/>
  <c r="BK25" i="30"/>
  <c r="BJ25" i="30"/>
  <c r="BO25" i="30"/>
  <c r="BI25" i="30"/>
  <c r="BH25" i="30"/>
  <c r="BG25" i="30"/>
  <c r="BN25" i="30"/>
  <c r="BP25" i="30" s="1"/>
  <c r="BF25" i="30"/>
  <c r="BD25" i="30"/>
  <c r="BC25" i="30"/>
  <c r="BB25" i="30"/>
  <c r="BA25" i="30"/>
  <c r="AZ25" i="30"/>
  <c r="AY25" i="30"/>
  <c r="AX25" i="30"/>
  <c r="AW25" i="30"/>
  <c r="AV25" i="30"/>
  <c r="AU25" i="30"/>
  <c r="AT25" i="30"/>
  <c r="AS25" i="30"/>
  <c r="AR25" i="30"/>
  <c r="AQ25" i="30"/>
  <c r="AP25" i="30"/>
  <c r="AO25" i="30"/>
  <c r="AN25" i="30"/>
  <c r="BM24" i="30"/>
  <c r="BL24" i="30"/>
  <c r="BK24" i="30"/>
  <c r="BJ24" i="30"/>
  <c r="BI24" i="30"/>
  <c r="BH24" i="30"/>
  <c r="BG24" i="30"/>
  <c r="BF24" i="30"/>
  <c r="BD24" i="30"/>
  <c r="BC24" i="30"/>
  <c r="BB24" i="30"/>
  <c r="BA24" i="30"/>
  <c r="AZ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BM23" i="30"/>
  <c r="BL23" i="30"/>
  <c r="BK23" i="30"/>
  <c r="BJ23" i="30"/>
  <c r="BI23" i="30"/>
  <c r="BO23" i="30" s="1"/>
  <c r="BH23" i="30"/>
  <c r="BG23" i="30"/>
  <c r="BF23" i="30"/>
  <c r="BN23" i="30" s="1"/>
  <c r="BP23" i="30" s="1"/>
  <c r="BR23" i="30" s="1"/>
  <c r="BD23" i="30"/>
  <c r="BC23" i="30"/>
  <c r="BB23" i="30"/>
  <c r="BA23" i="30"/>
  <c r="AZ23" i="30"/>
  <c r="AY23" i="30"/>
  <c r="AX23" i="30"/>
  <c r="AW23" i="30"/>
  <c r="AV23" i="30"/>
  <c r="AU23" i="30"/>
  <c r="AT23" i="30"/>
  <c r="AS23" i="30"/>
  <c r="AR23" i="30"/>
  <c r="AQ23" i="30"/>
  <c r="AP23" i="30"/>
  <c r="AO23" i="30"/>
  <c r="AN23" i="30"/>
  <c r="BM22" i="30"/>
  <c r="BL22" i="30"/>
  <c r="BK22" i="30"/>
  <c r="BJ22" i="30"/>
  <c r="BI22" i="30"/>
  <c r="BO22" i="30"/>
  <c r="BH22" i="30"/>
  <c r="BG22" i="30"/>
  <c r="BF22" i="30"/>
  <c r="BD22" i="30"/>
  <c r="BC22" i="30"/>
  <c r="BB22" i="30"/>
  <c r="BA22" i="30"/>
  <c r="AZ22" i="30"/>
  <c r="AY22" i="30"/>
  <c r="AX22" i="30"/>
  <c r="AW22" i="30"/>
  <c r="AV22" i="30"/>
  <c r="AU22" i="30"/>
  <c r="AT22" i="30"/>
  <c r="AS22" i="30"/>
  <c r="AR22" i="30"/>
  <c r="AQ22" i="30"/>
  <c r="AP22" i="30"/>
  <c r="AO22" i="30"/>
  <c r="AN22" i="30"/>
  <c r="BM21" i="30"/>
  <c r="BL21" i="30"/>
  <c r="BK21" i="30"/>
  <c r="BO21" i="30"/>
  <c r="BJ21" i="30"/>
  <c r="BI21" i="30"/>
  <c r="BH21" i="30"/>
  <c r="BG21" i="30"/>
  <c r="BF21" i="30"/>
  <c r="BN21" i="30" s="1"/>
  <c r="BP21" i="30" s="1"/>
  <c r="BR21" i="30" s="1"/>
  <c r="BD21" i="30"/>
  <c r="BC21" i="30"/>
  <c r="BB21" i="30"/>
  <c r="BA21" i="30"/>
  <c r="AZ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BM20" i="30"/>
  <c r="BL20" i="30"/>
  <c r="BK20" i="30"/>
  <c r="BJ20" i="30"/>
  <c r="BI20" i="30"/>
  <c r="BO20" i="30" s="1"/>
  <c r="BH20" i="30"/>
  <c r="BG20" i="30"/>
  <c r="BF20" i="30"/>
  <c r="BN20" i="30" s="1"/>
  <c r="BD20" i="30"/>
  <c r="BC20" i="30"/>
  <c r="BB20" i="30"/>
  <c r="BA20" i="30"/>
  <c r="AZ20" i="30"/>
  <c r="AY20" i="30"/>
  <c r="AX20" i="30"/>
  <c r="AW20" i="30"/>
  <c r="AV20" i="30"/>
  <c r="AU20" i="30"/>
  <c r="AT20" i="30"/>
  <c r="AS20" i="30"/>
  <c r="AR20" i="30"/>
  <c r="AQ20" i="30"/>
  <c r="AP20" i="30"/>
  <c r="AO20" i="30"/>
  <c r="AN20" i="30"/>
  <c r="BM19" i="30"/>
  <c r="BL19" i="30"/>
  <c r="BK19" i="30"/>
  <c r="BJ19" i="30"/>
  <c r="BI19" i="30"/>
  <c r="BO19" i="30" s="1"/>
  <c r="BH19" i="30"/>
  <c r="BG19" i="30"/>
  <c r="BF19" i="30"/>
  <c r="BN19" i="30" s="1"/>
  <c r="BP19" i="30" s="1"/>
  <c r="BR19" i="30" s="1"/>
  <c r="BD19" i="30"/>
  <c r="BC19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BM18" i="30"/>
  <c r="BL18" i="30"/>
  <c r="BK18" i="30"/>
  <c r="BJ18" i="30"/>
  <c r="BI18" i="30"/>
  <c r="BH18" i="30"/>
  <c r="BG18" i="30"/>
  <c r="BN18" i="30" s="1"/>
  <c r="BP18" i="30" s="1"/>
  <c r="BR18" i="30" s="1"/>
  <c r="BF18" i="30"/>
  <c r="BD18" i="30"/>
  <c r="BC18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BM17" i="30"/>
  <c r="BL17" i="30"/>
  <c r="BK17" i="30"/>
  <c r="BJ17" i="30"/>
  <c r="BI17" i="30"/>
  <c r="BO17" i="30" s="1"/>
  <c r="BH17" i="30"/>
  <c r="BG17" i="30"/>
  <c r="BF17" i="30"/>
  <c r="BN17" i="30" s="1"/>
  <c r="BP17" i="30" s="1"/>
  <c r="BR17" i="30" s="1"/>
  <c r="AV17" i="30"/>
  <c r="AR17" i="30"/>
  <c r="AQ17" i="30"/>
  <c r="AP17" i="30"/>
  <c r="AO17" i="30"/>
  <c r="AN17" i="30"/>
  <c r="H17" i="30"/>
  <c r="AZ17" i="30" s="1"/>
  <c r="BC17" i="30"/>
  <c r="BM16" i="30"/>
  <c r="BL16" i="30"/>
  <c r="BK16" i="30"/>
  <c r="BJ16" i="30"/>
  <c r="BI16" i="30"/>
  <c r="BO16" i="30" s="1"/>
  <c r="BH16" i="30"/>
  <c r="BG16" i="30"/>
  <c r="BF16" i="30"/>
  <c r="BN16" i="30" s="1"/>
  <c r="BP16" i="30" s="1"/>
  <c r="BR16" i="30" s="1"/>
  <c r="AR16" i="30"/>
  <c r="AQ16" i="30"/>
  <c r="AP16" i="30"/>
  <c r="AO16" i="30"/>
  <c r="AN16" i="30"/>
  <c r="H16" i="30"/>
  <c r="BM15" i="30"/>
  <c r="BL15" i="30"/>
  <c r="BK15" i="30"/>
  <c r="BJ15" i="30"/>
  <c r="BI15" i="30"/>
  <c r="BH15" i="30"/>
  <c r="BG15" i="30"/>
  <c r="BF15" i="30"/>
  <c r="BN15" i="30" s="1"/>
  <c r="AR15" i="30"/>
  <c r="AQ15" i="30"/>
  <c r="AP15" i="30"/>
  <c r="AO15" i="30"/>
  <c r="AN15" i="30"/>
  <c r="H15" i="30"/>
  <c r="BM14" i="30"/>
  <c r="BL14" i="30"/>
  <c r="BK14" i="30"/>
  <c r="BO14" i="30" s="1"/>
  <c r="BJ14" i="30"/>
  <c r="BI14" i="30"/>
  <c r="BH14" i="30"/>
  <c r="BN14" i="30" s="1"/>
  <c r="BP14" i="30" s="1"/>
  <c r="BR14" i="30" s="1"/>
  <c r="BG14" i="30"/>
  <c r="BF14" i="30"/>
  <c r="AV14" i="30"/>
  <c r="AR14" i="30"/>
  <c r="AQ14" i="30"/>
  <c r="AP14" i="30"/>
  <c r="AO14" i="30"/>
  <c r="AN14" i="30"/>
  <c r="H14" i="30"/>
  <c r="BD14" i="30" s="1"/>
  <c r="BM13" i="30"/>
  <c r="BL13" i="30"/>
  <c r="BK13" i="30"/>
  <c r="BJ13" i="30"/>
  <c r="BI13" i="30"/>
  <c r="BO13" i="30" s="1"/>
  <c r="BH13" i="30"/>
  <c r="BG13" i="30"/>
  <c r="BF13" i="30"/>
  <c r="BN13" i="30" s="1"/>
  <c r="AR13" i="30"/>
  <c r="AQ13" i="30"/>
  <c r="AP13" i="30"/>
  <c r="AO13" i="30"/>
  <c r="AN13" i="30"/>
  <c r="H13" i="30"/>
  <c r="AZ13" i="30"/>
  <c r="BM12" i="30"/>
  <c r="BL12" i="30"/>
  <c r="BK12" i="30"/>
  <c r="BJ12" i="30"/>
  <c r="BI12" i="30"/>
  <c r="BH12" i="30"/>
  <c r="BG12" i="30"/>
  <c r="BF12" i="30"/>
  <c r="AT12" i="30"/>
  <c r="AR12" i="30"/>
  <c r="AQ12" i="30"/>
  <c r="AP12" i="30"/>
  <c r="AO12" i="30"/>
  <c r="AN12" i="30"/>
  <c r="H12" i="30"/>
  <c r="BD12" i="30" s="1"/>
  <c r="BC12" i="30"/>
  <c r="BM11" i="30"/>
  <c r="BL11" i="30"/>
  <c r="BK11" i="30"/>
  <c r="BJ11" i="30"/>
  <c r="BI11" i="30"/>
  <c r="BO11" i="30" s="1"/>
  <c r="BH11" i="30"/>
  <c r="BG11" i="30"/>
  <c r="BF11" i="30"/>
  <c r="BN11" i="30" s="1"/>
  <c r="BP11" i="30" s="1"/>
  <c r="BR11" i="30" s="1"/>
  <c r="BB11" i="30"/>
  <c r="AR11" i="30"/>
  <c r="AQ11" i="30"/>
  <c r="AP11" i="30"/>
  <c r="AO11" i="30"/>
  <c r="AN11" i="30"/>
  <c r="H11" i="30"/>
  <c r="AX11" i="30" s="1"/>
  <c r="AS4" i="30"/>
  <c r="AR4" i="30"/>
  <c r="AO4" i="30"/>
  <c r="AO3" i="30"/>
  <c r="BM38" i="23"/>
  <c r="BL38" i="23"/>
  <c r="BK38" i="23"/>
  <c r="BJ38" i="23"/>
  <c r="BI38" i="23"/>
  <c r="BH38" i="23"/>
  <c r="BG38" i="23"/>
  <c r="BF38" i="23"/>
  <c r="BD38" i="23"/>
  <c r="BC38" i="23"/>
  <c r="BB38" i="23"/>
  <c r="BA38" i="23"/>
  <c r="AZ38" i="23"/>
  <c r="AY38" i="23"/>
  <c r="AX38" i="23"/>
  <c r="AW38" i="23"/>
  <c r="AV38" i="23"/>
  <c r="AU38" i="23"/>
  <c r="AT38" i="23"/>
  <c r="AS38" i="23"/>
  <c r="AR38" i="23"/>
  <c r="AQ38" i="23"/>
  <c r="AP38" i="23"/>
  <c r="AO38" i="23"/>
  <c r="AN38" i="23"/>
  <c r="BM37" i="23"/>
  <c r="BL37" i="23"/>
  <c r="BK37" i="23"/>
  <c r="BJ37" i="23"/>
  <c r="BI37" i="23"/>
  <c r="BH37" i="23"/>
  <c r="BG37" i="23"/>
  <c r="BF37" i="23"/>
  <c r="BN37" i="23" s="1"/>
  <c r="BD37" i="23"/>
  <c r="BC37" i="23"/>
  <c r="BB37" i="23"/>
  <c r="BA37" i="23"/>
  <c r="AZ37" i="23"/>
  <c r="AY37" i="23"/>
  <c r="AX37" i="23"/>
  <c r="AW37" i="23"/>
  <c r="AV37" i="23"/>
  <c r="AU37" i="23"/>
  <c r="AT37" i="23"/>
  <c r="AS37" i="23"/>
  <c r="AR37" i="23"/>
  <c r="AQ37" i="23"/>
  <c r="AP37" i="23"/>
  <c r="AO37" i="23"/>
  <c r="AN37" i="23"/>
  <c r="BM36" i="23"/>
  <c r="BL36" i="23"/>
  <c r="BK36" i="23"/>
  <c r="BJ36" i="23"/>
  <c r="BI36" i="23"/>
  <c r="BO36" i="23" s="1"/>
  <c r="BH36" i="23"/>
  <c r="BG36" i="23"/>
  <c r="BF36" i="23"/>
  <c r="BN36" i="23"/>
  <c r="BP36" i="23" s="1"/>
  <c r="BR36" i="23" s="1"/>
  <c r="BD36" i="23"/>
  <c r="BC36" i="23"/>
  <c r="BB36" i="23"/>
  <c r="BA36" i="23"/>
  <c r="AZ36" i="23"/>
  <c r="AY36" i="23"/>
  <c r="AX36" i="23"/>
  <c r="AW36" i="23"/>
  <c r="AV36" i="23"/>
  <c r="AU36" i="23"/>
  <c r="AT36" i="23"/>
  <c r="AS36" i="23"/>
  <c r="AR36" i="23"/>
  <c r="AQ36" i="23"/>
  <c r="AP36" i="23"/>
  <c r="AO36" i="23"/>
  <c r="AN36" i="23"/>
  <c r="BM35" i="23"/>
  <c r="BL35" i="23"/>
  <c r="BK35" i="23"/>
  <c r="BJ35" i="23"/>
  <c r="BI35" i="23"/>
  <c r="BH35" i="23"/>
  <c r="BG35" i="23"/>
  <c r="BF35" i="23"/>
  <c r="BD35" i="23"/>
  <c r="BC35" i="23"/>
  <c r="BB35" i="23"/>
  <c r="BA35" i="23"/>
  <c r="AZ35" i="23"/>
  <c r="AY35" i="23"/>
  <c r="AX35" i="23"/>
  <c r="AW35" i="23"/>
  <c r="AV35" i="23"/>
  <c r="AU35" i="23"/>
  <c r="AT35" i="23"/>
  <c r="AS35" i="23"/>
  <c r="AR35" i="23"/>
  <c r="AQ35" i="23"/>
  <c r="AP35" i="23"/>
  <c r="AO35" i="23"/>
  <c r="AN35" i="23"/>
  <c r="BM34" i="23"/>
  <c r="BL34" i="23"/>
  <c r="BK34" i="23"/>
  <c r="BJ34" i="23"/>
  <c r="BI34" i="23"/>
  <c r="BH34" i="23"/>
  <c r="BG34" i="23"/>
  <c r="BF34" i="23"/>
  <c r="BD34" i="23"/>
  <c r="BC34" i="23"/>
  <c r="BB34" i="23"/>
  <c r="BA34" i="23"/>
  <c r="AZ34" i="23"/>
  <c r="AY34" i="23"/>
  <c r="AX34" i="23"/>
  <c r="AW34" i="23"/>
  <c r="AV34" i="23"/>
  <c r="AU34" i="23"/>
  <c r="AT34" i="23"/>
  <c r="AS34" i="23"/>
  <c r="AR34" i="23"/>
  <c r="AQ34" i="23"/>
  <c r="AP34" i="23"/>
  <c r="AO34" i="23"/>
  <c r="AN34" i="23"/>
  <c r="BM33" i="23"/>
  <c r="BL33" i="23"/>
  <c r="BK33" i="23"/>
  <c r="BJ33" i="23"/>
  <c r="BI33" i="23"/>
  <c r="BO33" i="23" s="1"/>
  <c r="BH33" i="23"/>
  <c r="BG33" i="23"/>
  <c r="BF33" i="23"/>
  <c r="BN33" i="23" s="1"/>
  <c r="BD33" i="23"/>
  <c r="BC33" i="23"/>
  <c r="BB33" i="23"/>
  <c r="BA33" i="23"/>
  <c r="AZ33" i="23"/>
  <c r="AY33" i="23"/>
  <c r="AX33" i="23"/>
  <c r="AW33" i="23"/>
  <c r="AV33" i="23"/>
  <c r="AU33" i="23"/>
  <c r="AT33" i="23"/>
  <c r="AS33" i="23"/>
  <c r="AR33" i="23"/>
  <c r="AQ33" i="23"/>
  <c r="AP33" i="23"/>
  <c r="AO33" i="23"/>
  <c r="AN33" i="23"/>
  <c r="BM32" i="23"/>
  <c r="BL32" i="23"/>
  <c r="BK32" i="23"/>
  <c r="BJ32" i="23"/>
  <c r="BI32" i="23"/>
  <c r="BO32" i="23" s="1"/>
  <c r="BH32" i="23"/>
  <c r="BG32" i="23"/>
  <c r="BF32" i="23"/>
  <c r="BN32" i="23"/>
  <c r="BD32" i="23"/>
  <c r="BC32" i="23"/>
  <c r="BB32" i="23"/>
  <c r="BA32" i="23"/>
  <c r="AZ32" i="23"/>
  <c r="AY32" i="23"/>
  <c r="AX32" i="23"/>
  <c r="AW32" i="23"/>
  <c r="AV32" i="23"/>
  <c r="AU32" i="23"/>
  <c r="AT32" i="23"/>
  <c r="AS32" i="23"/>
  <c r="AR32" i="23"/>
  <c r="AQ32" i="23"/>
  <c r="AP32" i="23"/>
  <c r="AO32" i="23"/>
  <c r="AN32" i="23"/>
  <c r="BM31" i="23"/>
  <c r="BL31" i="23"/>
  <c r="BK31" i="23"/>
  <c r="BJ31" i="23"/>
  <c r="BI31" i="23"/>
  <c r="BO31" i="23" s="1"/>
  <c r="BH31" i="23"/>
  <c r="BG31" i="23"/>
  <c r="BF31" i="23"/>
  <c r="BN31" i="23" s="1"/>
  <c r="BP31" i="23" s="1"/>
  <c r="BR31" i="23" s="1"/>
  <c r="BD31" i="23"/>
  <c r="BC31" i="23"/>
  <c r="BB31" i="23"/>
  <c r="BA31" i="23"/>
  <c r="AZ31" i="23"/>
  <c r="AY31" i="23"/>
  <c r="AX31" i="23"/>
  <c r="AW31" i="23"/>
  <c r="AV31" i="23"/>
  <c r="AU31" i="23"/>
  <c r="AT31" i="23"/>
  <c r="AS31" i="23"/>
  <c r="AR31" i="23"/>
  <c r="AQ31" i="23"/>
  <c r="AP31" i="23"/>
  <c r="AO31" i="23"/>
  <c r="AN31" i="23"/>
  <c r="BM30" i="23"/>
  <c r="BL30" i="23"/>
  <c r="BK30" i="23"/>
  <c r="BO30" i="23"/>
  <c r="BJ30" i="23"/>
  <c r="BI30" i="23"/>
  <c r="BH30" i="23"/>
  <c r="BG30" i="23"/>
  <c r="BF30" i="23"/>
  <c r="BN30" i="23" s="1"/>
  <c r="BD30" i="23"/>
  <c r="BC30" i="23"/>
  <c r="BB30" i="23"/>
  <c r="BA30" i="23"/>
  <c r="AZ30" i="23"/>
  <c r="AY30" i="23"/>
  <c r="AX30" i="23"/>
  <c r="AW30" i="23"/>
  <c r="AV30" i="23"/>
  <c r="AU30" i="23"/>
  <c r="AT30" i="23"/>
  <c r="AS30" i="23"/>
  <c r="AR30" i="23"/>
  <c r="AQ30" i="23"/>
  <c r="AP30" i="23"/>
  <c r="AO30" i="23"/>
  <c r="AN30" i="23"/>
  <c r="BM29" i="23"/>
  <c r="BL29" i="23"/>
  <c r="BK29" i="23"/>
  <c r="BJ29" i="23"/>
  <c r="BI29" i="23"/>
  <c r="BO29" i="23" s="1"/>
  <c r="BH29" i="23"/>
  <c r="BG29" i="23"/>
  <c r="BN29" i="23"/>
  <c r="BF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BM28" i="23"/>
  <c r="BL28" i="23"/>
  <c r="BK28" i="23"/>
  <c r="BO28" i="23"/>
  <c r="BJ28" i="23"/>
  <c r="BI28" i="23"/>
  <c r="BH28" i="23"/>
  <c r="BG28" i="23"/>
  <c r="BF28" i="23"/>
  <c r="BN28" i="23" s="1"/>
  <c r="BD28" i="23"/>
  <c r="BC28" i="23"/>
  <c r="BB28" i="23"/>
  <c r="BA28" i="23"/>
  <c r="AZ28" i="23"/>
  <c r="AY28" i="23"/>
  <c r="AX28" i="23"/>
  <c r="AW28" i="23"/>
  <c r="AV28" i="23"/>
  <c r="AU28" i="23"/>
  <c r="AT28" i="23"/>
  <c r="AS28" i="23"/>
  <c r="AR28" i="23"/>
  <c r="AQ28" i="23"/>
  <c r="AP28" i="23"/>
  <c r="AO28" i="23"/>
  <c r="AN28" i="23"/>
  <c r="BM27" i="23"/>
  <c r="BL27" i="23"/>
  <c r="BK27" i="23"/>
  <c r="BJ27" i="23"/>
  <c r="BO27" i="23"/>
  <c r="BI27" i="23"/>
  <c r="BH27" i="23"/>
  <c r="BG27" i="23"/>
  <c r="BF27" i="23"/>
  <c r="BD27" i="23"/>
  <c r="BC27" i="23"/>
  <c r="BB27" i="23"/>
  <c r="BA27" i="23"/>
  <c r="AZ27" i="23"/>
  <c r="AY27" i="23"/>
  <c r="AX27" i="23"/>
  <c r="AW27" i="23"/>
  <c r="AV27" i="23"/>
  <c r="AU27" i="23"/>
  <c r="AT27" i="23"/>
  <c r="AS27" i="23"/>
  <c r="AR27" i="23"/>
  <c r="AQ27" i="23"/>
  <c r="AP27" i="23"/>
  <c r="AO27" i="23"/>
  <c r="AN27" i="23"/>
  <c r="BM26" i="23"/>
  <c r="BL26" i="23"/>
  <c r="BK26" i="23"/>
  <c r="BJ26" i="23"/>
  <c r="BI26" i="23"/>
  <c r="BO26" i="23" s="1"/>
  <c r="BH26" i="23"/>
  <c r="BG26" i="23"/>
  <c r="BF26" i="23"/>
  <c r="BD26" i="23"/>
  <c r="BC26" i="23"/>
  <c r="BB26" i="23"/>
  <c r="BA26" i="23"/>
  <c r="AZ26" i="23"/>
  <c r="AY26" i="23"/>
  <c r="AX26" i="23"/>
  <c r="AW26" i="23"/>
  <c r="AV26" i="23"/>
  <c r="AU26" i="23"/>
  <c r="AT26" i="23"/>
  <c r="AS26" i="23"/>
  <c r="AR26" i="23"/>
  <c r="AQ26" i="23"/>
  <c r="AP26" i="23"/>
  <c r="AO26" i="23"/>
  <c r="AN26" i="23"/>
  <c r="BM25" i="23"/>
  <c r="BL25" i="23"/>
  <c r="BK25" i="23"/>
  <c r="BJ25" i="23"/>
  <c r="BI25" i="23"/>
  <c r="BO25" i="23" s="1"/>
  <c r="BH25" i="23"/>
  <c r="BG25" i="23"/>
  <c r="BF25" i="23"/>
  <c r="BN25" i="23" s="1"/>
  <c r="BP25" i="23" s="1"/>
  <c r="BR25" i="23" s="1"/>
  <c r="BD25" i="23"/>
  <c r="BC25" i="23"/>
  <c r="BB25" i="23"/>
  <c r="BA25" i="23"/>
  <c r="AZ25" i="23"/>
  <c r="AY25" i="23"/>
  <c r="AX25" i="23"/>
  <c r="AW25" i="23"/>
  <c r="AV25" i="23"/>
  <c r="AU25" i="23"/>
  <c r="AT25" i="23"/>
  <c r="AS25" i="23"/>
  <c r="AR25" i="23"/>
  <c r="AQ25" i="23"/>
  <c r="AP25" i="23"/>
  <c r="AO25" i="23"/>
  <c r="AN25" i="23"/>
  <c r="BM24" i="23"/>
  <c r="BL24" i="23"/>
  <c r="BK24" i="23"/>
  <c r="BJ24" i="23"/>
  <c r="BI24" i="23"/>
  <c r="BO24" i="23" s="1"/>
  <c r="BH24" i="23"/>
  <c r="BG24" i="23"/>
  <c r="BF24" i="23"/>
  <c r="BN24" i="23" s="1"/>
  <c r="BD24" i="23"/>
  <c r="BC24" i="23"/>
  <c r="BB24" i="23"/>
  <c r="BA24" i="23"/>
  <c r="AZ24" i="23"/>
  <c r="AY24" i="23"/>
  <c r="AX24" i="23"/>
  <c r="AW24" i="23"/>
  <c r="AV24" i="23"/>
  <c r="AU24" i="23"/>
  <c r="AT24" i="23"/>
  <c r="AS24" i="23"/>
  <c r="AR24" i="23"/>
  <c r="AQ24" i="23"/>
  <c r="AP24" i="23"/>
  <c r="AO24" i="23"/>
  <c r="AN24" i="23"/>
  <c r="BM23" i="23"/>
  <c r="BL23" i="23"/>
  <c r="BK23" i="23"/>
  <c r="BJ23" i="23"/>
  <c r="BI23" i="23"/>
  <c r="BH23" i="23"/>
  <c r="BG23" i="23"/>
  <c r="BF23" i="23"/>
  <c r="BD23" i="23"/>
  <c r="BC23" i="23"/>
  <c r="BB23" i="23"/>
  <c r="BA23" i="23"/>
  <c r="AZ23" i="23"/>
  <c r="AY23" i="23"/>
  <c r="AX23" i="23"/>
  <c r="AW23" i="23"/>
  <c r="AV23" i="23"/>
  <c r="AU23" i="23"/>
  <c r="AT23" i="23"/>
  <c r="AS23" i="23"/>
  <c r="AR23" i="23"/>
  <c r="AQ23" i="23"/>
  <c r="AP23" i="23"/>
  <c r="AO23" i="23"/>
  <c r="AN23" i="23"/>
  <c r="BM22" i="23"/>
  <c r="BL22" i="23"/>
  <c r="BK22" i="23"/>
  <c r="BJ22" i="23"/>
  <c r="BI22" i="23"/>
  <c r="BH22" i="23"/>
  <c r="BG22" i="23"/>
  <c r="BF22" i="23"/>
  <c r="BN22" i="23"/>
  <c r="BD22" i="23"/>
  <c r="BC22" i="23"/>
  <c r="BB22" i="23"/>
  <c r="BA22" i="23"/>
  <c r="AZ22" i="23"/>
  <c r="AY22" i="23"/>
  <c r="AX22" i="23"/>
  <c r="AW22" i="23"/>
  <c r="AV22" i="23"/>
  <c r="AU22" i="23"/>
  <c r="AT22" i="23"/>
  <c r="AS22" i="23"/>
  <c r="AR22" i="23"/>
  <c r="AQ22" i="23"/>
  <c r="AP22" i="23"/>
  <c r="AO22" i="23"/>
  <c r="AN22" i="23"/>
  <c r="BM21" i="23"/>
  <c r="BL21" i="23"/>
  <c r="BK21" i="23"/>
  <c r="BJ21" i="23"/>
  <c r="BI21" i="23"/>
  <c r="BH21" i="23"/>
  <c r="BG21" i="23"/>
  <c r="BN21" i="23" s="1"/>
  <c r="BP21" i="23" s="1"/>
  <c r="BR21" i="23" s="1"/>
  <c r="BF21" i="23"/>
  <c r="BD21" i="23"/>
  <c r="BC21" i="23"/>
  <c r="BB21" i="23"/>
  <c r="BA21" i="23"/>
  <c r="AZ21" i="23"/>
  <c r="AY21" i="23"/>
  <c r="AX21" i="23"/>
  <c r="AW21" i="23"/>
  <c r="AV21" i="23"/>
  <c r="AU21" i="23"/>
  <c r="AT21" i="23"/>
  <c r="AS21" i="23"/>
  <c r="AR21" i="23"/>
  <c r="AQ21" i="23"/>
  <c r="AP21" i="23"/>
  <c r="AO21" i="23"/>
  <c r="AN21" i="23"/>
  <c r="BM20" i="23"/>
  <c r="BL20" i="23"/>
  <c r="BK20" i="23"/>
  <c r="BJ20" i="23"/>
  <c r="BO20" i="23" s="1"/>
  <c r="BI20" i="23"/>
  <c r="BH20" i="23"/>
  <c r="BG20" i="23"/>
  <c r="BF20" i="23"/>
  <c r="BD20" i="23"/>
  <c r="BC20" i="23"/>
  <c r="BB20" i="23"/>
  <c r="BA20" i="23"/>
  <c r="AZ20" i="23"/>
  <c r="AY20" i="23"/>
  <c r="AX20" i="23"/>
  <c r="AW20" i="23"/>
  <c r="AV20" i="23"/>
  <c r="AU20" i="23"/>
  <c r="AT20" i="23"/>
  <c r="AS20" i="23"/>
  <c r="AR20" i="23"/>
  <c r="AQ20" i="23"/>
  <c r="AP20" i="23"/>
  <c r="AO20" i="23"/>
  <c r="AN20" i="23"/>
  <c r="BM19" i="23"/>
  <c r="BL19" i="23"/>
  <c r="BK19" i="23"/>
  <c r="BJ19" i="23"/>
  <c r="BI19" i="23"/>
  <c r="BO19" i="23" s="1"/>
  <c r="BH19" i="23"/>
  <c r="BN19" i="23" s="1"/>
  <c r="BG19" i="23"/>
  <c r="BF19" i="23"/>
  <c r="BD19" i="23"/>
  <c r="BC19" i="23"/>
  <c r="BB19" i="23"/>
  <c r="BA19" i="23"/>
  <c r="AZ19" i="23"/>
  <c r="AY19" i="23"/>
  <c r="AX19" i="23"/>
  <c r="AW19" i="23"/>
  <c r="AV19" i="23"/>
  <c r="AU19" i="23"/>
  <c r="AT19" i="23"/>
  <c r="AS19" i="23"/>
  <c r="AR19" i="23"/>
  <c r="AQ19" i="23"/>
  <c r="AP19" i="23"/>
  <c r="AO19" i="23"/>
  <c r="AN19" i="23"/>
  <c r="BM18" i="23"/>
  <c r="BL18" i="23"/>
  <c r="BK18" i="23"/>
  <c r="BJ18" i="23"/>
  <c r="BI18" i="23"/>
  <c r="BH18" i="23"/>
  <c r="BG18" i="23"/>
  <c r="BF18" i="23"/>
  <c r="BD18" i="23"/>
  <c r="BC18" i="23"/>
  <c r="BB18" i="23"/>
  <c r="BA18" i="23"/>
  <c r="AZ18" i="23"/>
  <c r="AY18" i="23"/>
  <c r="AX18" i="23"/>
  <c r="AW18" i="23"/>
  <c r="AV18" i="23"/>
  <c r="AU18" i="23"/>
  <c r="AT18" i="23"/>
  <c r="AS18" i="23"/>
  <c r="AR18" i="23"/>
  <c r="AQ18" i="23"/>
  <c r="AP18" i="23"/>
  <c r="AO18" i="23"/>
  <c r="AN18" i="23"/>
  <c r="BM17" i="23"/>
  <c r="BL17" i="23"/>
  <c r="BK17" i="23"/>
  <c r="BJ17" i="23"/>
  <c r="BI17" i="23"/>
  <c r="BH17" i="23"/>
  <c r="BG17" i="23"/>
  <c r="BN17" i="23" s="1"/>
  <c r="BF17" i="23"/>
  <c r="AR17" i="23"/>
  <c r="AQ17" i="23"/>
  <c r="AP17" i="23"/>
  <c r="AO17" i="23"/>
  <c r="AN17" i="23"/>
  <c r="H17" i="23"/>
  <c r="AX17" i="23" s="1"/>
  <c r="AT17" i="23"/>
  <c r="BM16" i="23"/>
  <c r="BL16" i="23"/>
  <c r="BK16" i="23"/>
  <c r="BJ16" i="23"/>
  <c r="BI16" i="23"/>
  <c r="BO16" i="23"/>
  <c r="BH16" i="23"/>
  <c r="BG16" i="23"/>
  <c r="BF16" i="23"/>
  <c r="BN16" i="23"/>
  <c r="BP16" i="23" s="1"/>
  <c r="AR16" i="23"/>
  <c r="AQ16" i="23"/>
  <c r="AP16" i="23"/>
  <c r="AO16" i="23"/>
  <c r="AN16" i="23"/>
  <c r="H16" i="23"/>
  <c r="AT16" i="23" s="1"/>
  <c r="BD16" i="23"/>
  <c r="BM15" i="23"/>
  <c r="BL15" i="23"/>
  <c r="BK15" i="23"/>
  <c r="BJ15" i="23"/>
  <c r="BI15" i="23"/>
  <c r="BH15" i="23"/>
  <c r="BG15" i="23"/>
  <c r="BF15" i="23"/>
  <c r="BN15" i="23" s="1"/>
  <c r="AT15" i="23"/>
  <c r="AR15" i="23"/>
  <c r="AQ15" i="23"/>
  <c r="AP15" i="23"/>
  <c r="AO15" i="23"/>
  <c r="AN15" i="23"/>
  <c r="H15" i="23"/>
  <c r="BM14" i="23"/>
  <c r="BL14" i="23"/>
  <c r="BK14" i="23"/>
  <c r="BJ14" i="23"/>
  <c r="BI14" i="23"/>
  <c r="BH14" i="23"/>
  <c r="BG14" i="23"/>
  <c r="BF14" i="23"/>
  <c r="BN14" i="23"/>
  <c r="BD14" i="23"/>
  <c r="AR14" i="23"/>
  <c r="AQ14" i="23"/>
  <c r="AP14" i="23"/>
  <c r="AO14" i="23"/>
  <c r="AN14" i="23"/>
  <c r="H14" i="23"/>
  <c r="AV14" i="23"/>
  <c r="BM13" i="23"/>
  <c r="BL13" i="23"/>
  <c r="BK13" i="23"/>
  <c r="BJ13" i="23"/>
  <c r="BO13" i="23" s="1"/>
  <c r="BI13" i="23"/>
  <c r="BH13" i="23"/>
  <c r="BG13" i="23"/>
  <c r="BN13" i="23" s="1"/>
  <c r="BP13" i="23" s="1"/>
  <c r="BR13" i="23" s="1"/>
  <c r="BF13" i="23"/>
  <c r="AR13" i="23"/>
  <c r="AQ13" i="23"/>
  <c r="AP13" i="23"/>
  <c r="AO13" i="23"/>
  <c r="AN13" i="23"/>
  <c r="H13" i="23"/>
  <c r="AZ13" i="23"/>
  <c r="BM12" i="23"/>
  <c r="BL12" i="23"/>
  <c r="BK12" i="23"/>
  <c r="BJ12" i="23"/>
  <c r="BI12" i="23"/>
  <c r="BH12" i="23"/>
  <c r="BG12" i="23"/>
  <c r="BF12" i="23"/>
  <c r="AR12" i="23"/>
  <c r="AQ12" i="23"/>
  <c r="AP12" i="23"/>
  <c r="AO12" i="23"/>
  <c r="AN12" i="23"/>
  <c r="H12" i="23"/>
  <c r="AV12" i="23" s="1"/>
  <c r="BD12" i="23"/>
  <c r="BM11" i="23"/>
  <c r="BL11" i="23"/>
  <c r="BK11" i="23"/>
  <c r="BJ11" i="23"/>
  <c r="BI11" i="23"/>
  <c r="BO11" i="23" s="1"/>
  <c r="BH11" i="23"/>
  <c r="BG11" i="23"/>
  <c r="BF11" i="23"/>
  <c r="AR11" i="23"/>
  <c r="AQ11" i="23"/>
  <c r="AP11" i="23"/>
  <c r="AO11" i="23"/>
  <c r="AN11" i="23"/>
  <c r="H11" i="23"/>
  <c r="AX11" i="23" s="1"/>
  <c r="AS4" i="23"/>
  <c r="AR4" i="23"/>
  <c r="AO4" i="23"/>
  <c r="AO3" i="23"/>
  <c r="BM38" i="18"/>
  <c r="BL38" i="18"/>
  <c r="BK38" i="18"/>
  <c r="BJ38" i="18"/>
  <c r="BI38" i="18"/>
  <c r="BO38" i="18" s="1"/>
  <c r="BH38" i="18"/>
  <c r="BG38" i="18"/>
  <c r="BF38" i="18"/>
  <c r="BN38" i="18" s="1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BM37" i="18"/>
  <c r="BL37" i="18"/>
  <c r="BK37" i="18"/>
  <c r="BJ37" i="18"/>
  <c r="BO37" i="18" s="1"/>
  <c r="BI37" i="18"/>
  <c r="BH37" i="18"/>
  <c r="BG37" i="18"/>
  <c r="BN37" i="18" s="1"/>
  <c r="BF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BM36" i="18"/>
  <c r="BL36" i="18"/>
  <c r="BK36" i="18"/>
  <c r="BJ36" i="18"/>
  <c r="BI36" i="18"/>
  <c r="BO36" i="18" s="1"/>
  <c r="BH36" i="18"/>
  <c r="BG36" i="18"/>
  <c r="BF36" i="18"/>
  <c r="BN36" i="18" s="1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BM35" i="18"/>
  <c r="BL35" i="18"/>
  <c r="BK35" i="18"/>
  <c r="BJ35" i="18"/>
  <c r="BI35" i="18"/>
  <c r="BH35" i="18"/>
  <c r="BG35" i="18"/>
  <c r="BF35" i="18"/>
  <c r="BN35" i="18" s="1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BM34" i="18"/>
  <c r="BL34" i="18"/>
  <c r="BK34" i="18"/>
  <c r="BJ34" i="18"/>
  <c r="BI34" i="18"/>
  <c r="BO34" i="18" s="1"/>
  <c r="BH34" i="18"/>
  <c r="BG34" i="18"/>
  <c r="BF34" i="18"/>
  <c r="BN34" i="18" s="1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BM33" i="18"/>
  <c r="BL33" i="18"/>
  <c r="BK33" i="18"/>
  <c r="BJ33" i="18"/>
  <c r="BI33" i="18"/>
  <c r="BO33" i="18" s="1"/>
  <c r="BH33" i="18"/>
  <c r="BG33" i="18"/>
  <c r="BF33" i="18"/>
  <c r="BN33" i="18" s="1"/>
  <c r="BP33" i="18" s="1"/>
  <c r="BR33" i="18" s="1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BM32" i="18"/>
  <c r="BL32" i="18"/>
  <c r="BK32" i="18"/>
  <c r="BJ32" i="18"/>
  <c r="BO32" i="18" s="1"/>
  <c r="BI32" i="18"/>
  <c r="BH32" i="18"/>
  <c r="BG32" i="18"/>
  <c r="BF32" i="18"/>
  <c r="BN32" i="18" s="1"/>
  <c r="BP32" i="18" s="1"/>
  <c r="BR32" i="18" s="1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BM31" i="18"/>
  <c r="BL31" i="18"/>
  <c r="BK31" i="18"/>
  <c r="BJ31" i="18"/>
  <c r="BI31" i="18"/>
  <c r="BO31" i="18"/>
  <c r="BH31" i="18"/>
  <c r="BG31" i="18"/>
  <c r="BF31" i="18"/>
  <c r="BN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BM30" i="18"/>
  <c r="BL30" i="18"/>
  <c r="BK30" i="18"/>
  <c r="BO30" i="18" s="1"/>
  <c r="BJ30" i="18"/>
  <c r="BI30" i="18"/>
  <c r="BH30" i="18"/>
  <c r="BN30" i="18" s="1"/>
  <c r="BG30" i="18"/>
  <c r="BF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BM29" i="18"/>
  <c r="BL29" i="18"/>
  <c r="BK29" i="18"/>
  <c r="BJ29" i="18"/>
  <c r="BO29" i="18" s="1"/>
  <c r="BI29" i="18"/>
  <c r="BH29" i="18"/>
  <c r="BG29" i="18"/>
  <c r="BN29" i="18" s="1"/>
  <c r="BF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BM28" i="18"/>
  <c r="BL28" i="18"/>
  <c r="BK28" i="18"/>
  <c r="BJ28" i="18"/>
  <c r="BO28" i="18" s="1"/>
  <c r="BI28" i="18"/>
  <c r="BH28" i="18"/>
  <c r="BG28" i="18"/>
  <c r="BN28" i="18" s="1"/>
  <c r="BP28" i="18" s="1"/>
  <c r="BR28" i="18" s="1"/>
  <c r="BF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BM27" i="18"/>
  <c r="BL27" i="18"/>
  <c r="BK27" i="18"/>
  <c r="BJ27" i="18"/>
  <c r="BI27" i="18"/>
  <c r="BO27" i="18" s="1"/>
  <c r="BH27" i="18"/>
  <c r="BG27" i="18"/>
  <c r="BF27" i="18"/>
  <c r="BN27" i="18" s="1"/>
  <c r="BP27" i="18" s="1"/>
  <c r="BR27" i="18" s="1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BM26" i="18"/>
  <c r="BL26" i="18"/>
  <c r="BK26" i="18"/>
  <c r="BJ26" i="18"/>
  <c r="BI26" i="18"/>
  <c r="BO26" i="18" s="1"/>
  <c r="BH26" i="18"/>
  <c r="BG26" i="18"/>
  <c r="BF26" i="18"/>
  <c r="BN26" i="18" s="1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BM25" i="18"/>
  <c r="BL25" i="18"/>
  <c r="BK25" i="18"/>
  <c r="BJ25" i="18"/>
  <c r="BI25" i="18"/>
  <c r="BO25" i="18"/>
  <c r="BH25" i="18"/>
  <c r="BG25" i="18"/>
  <c r="BF25" i="18"/>
  <c r="BN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BM24" i="18"/>
  <c r="BL24" i="18"/>
  <c r="BK24" i="18"/>
  <c r="BJ24" i="18"/>
  <c r="BI24" i="18"/>
  <c r="BO24" i="18" s="1"/>
  <c r="BH24" i="18"/>
  <c r="BG24" i="18"/>
  <c r="BF24" i="18"/>
  <c r="BN24" i="18" s="1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BM23" i="18"/>
  <c r="BL23" i="18"/>
  <c r="BK23" i="18"/>
  <c r="BO23" i="18"/>
  <c r="BJ23" i="18"/>
  <c r="BI23" i="18"/>
  <c r="BH23" i="18"/>
  <c r="BN23" i="18"/>
  <c r="BG23" i="18"/>
  <c r="BF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BM22" i="18"/>
  <c r="BL22" i="18"/>
  <c r="BK22" i="18"/>
  <c r="BJ22" i="18"/>
  <c r="BO22" i="18"/>
  <c r="BI22" i="18"/>
  <c r="BH22" i="18"/>
  <c r="BG22" i="18"/>
  <c r="BN22" i="18"/>
  <c r="BP22" i="18" s="1"/>
  <c r="BF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BM21" i="18"/>
  <c r="BL21" i="18"/>
  <c r="BK21" i="18"/>
  <c r="BJ21" i="18"/>
  <c r="BO21" i="18" s="1"/>
  <c r="BI21" i="18"/>
  <c r="BH21" i="18"/>
  <c r="BG21" i="18"/>
  <c r="BF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BM20" i="18"/>
  <c r="BL20" i="18"/>
  <c r="BK20" i="18"/>
  <c r="BJ20" i="18"/>
  <c r="BI20" i="18"/>
  <c r="BO20" i="18" s="1"/>
  <c r="BH20" i="18"/>
  <c r="BG20" i="18"/>
  <c r="BF20" i="18"/>
  <c r="BN20" i="18" s="1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BM19" i="18"/>
  <c r="BL19" i="18"/>
  <c r="BK19" i="18"/>
  <c r="BJ19" i="18"/>
  <c r="BI19" i="18"/>
  <c r="BO19" i="18" s="1"/>
  <c r="BH19" i="18"/>
  <c r="BG19" i="18"/>
  <c r="BF19" i="18"/>
  <c r="BN19" i="18" s="1"/>
  <c r="BP19" i="18" s="1"/>
  <c r="BR19" i="18" s="1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BM18" i="18"/>
  <c r="BL18" i="18"/>
  <c r="BK18" i="18"/>
  <c r="BJ18" i="18"/>
  <c r="BO18" i="18" s="1"/>
  <c r="BI18" i="18"/>
  <c r="BH18" i="18"/>
  <c r="BG18" i="18"/>
  <c r="BN18" i="18" s="1"/>
  <c r="BP18" i="18" s="1"/>
  <c r="BR18" i="18" s="1"/>
  <c r="BF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BM17" i="18"/>
  <c r="BL17" i="18"/>
  <c r="BK17" i="18"/>
  <c r="BJ17" i="18"/>
  <c r="BI17" i="18"/>
  <c r="BO17" i="18" s="1"/>
  <c r="BH17" i="18"/>
  <c r="BG17" i="18"/>
  <c r="BF17" i="18"/>
  <c r="BN17" i="18" s="1"/>
  <c r="BP17" i="18" s="1"/>
  <c r="BR17" i="18" s="1"/>
  <c r="AR17" i="18"/>
  <c r="AQ17" i="18"/>
  <c r="AP17" i="18"/>
  <c r="AO17" i="18"/>
  <c r="AN17" i="18"/>
  <c r="H17" i="18"/>
  <c r="BC17" i="18"/>
  <c r="BM16" i="18"/>
  <c r="BL16" i="18"/>
  <c r="BK16" i="18"/>
  <c r="BJ16" i="18"/>
  <c r="BI16" i="18"/>
  <c r="BO16" i="18" s="1"/>
  <c r="BH16" i="18"/>
  <c r="BG16" i="18"/>
  <c r="BF16" i="18"/>
  <c r="BN16" i="18" s="1"/>
  <c r="AR16" i="18"/>
  <c r="AQ16" i="18"/>
  <c r="AP16" i="18"/>
  <c r="AO16" i="18"/>
  <c r="AN16" i="18"/>
  <c r="H16" i="18"/>
  <c r="BM15" i="18"/>
  <c r="BL15" i="18"/>
  <c r="BK15" i="18"/>
  <c r="BJ15" i="18"/>
  <c r="BI15" i="18"/>
  <c r="BH15" i="18"/>
  <c r="BG15" i="18"/>
  <c r="BF15" i="18"/>
  <c r="AR15" i="18"/>
  <c r="AQ15" i="18"/>
  <c r="AP15" i="18"/>
  <c r="AO15" i="18"/>
  <c r="AN15" i="18"/>
  <c r="H15" i="18"/>
  <c r="BD15" i="18" s="1"/>
  <c r="BM14" i="18"/>
  <c r="BL14" i="18"/>
  <c r="BK14" i="18"/>
  <c r="BJ14" i="18"/>
  <c r="BI14" i="18"/>
  <c r="BO14" i="18" s="1"/>
  <c r="BH14" i="18"/>
  <c r="BG14" i="18"/>
  <c r="BF14" i="18"/>
  <c r="BN14" i="18" s="1"/>
  <c r="AR14" i="18"/>
  <c r="AQ14" i="18"/>
  <c r="AP14" i="18"/>
  <c r="AO14" i="18"/>
  <c r="AN14" i="18"/>
  <c r="H14" i="18"/>
  <c r="AY14" i="18" s="1"/>
  <c r="BM13" i="18"/>
  <c r="BL13" i="18"/>
  <c r="BK13" i="18"/>
  <c r="BJ13" i="18"/>
  <c r="BI13" i="18"/>
  <c r="BO13" i="18" s="1"/>
  <c r="BH13" i="18"/>
  <c r="BG13" i="18"/>
  <c r="BF13" i="18"/>
  <c r="BN13" i="18" s="1"/>
  <c r="AR13" i="18"/>
  <c r="AQ13" i="18"/>
  <c r="AP13" i="18"/>
  <c r="AO13" i="18"/>
  <c r="AN13" i="18"/>
  <c r="H13" i="18"/>
  <c r="BM12" i="18"/>
  <c r="BL12" i="18"/>
  <c r="BK12" i="18"/>
  <c r="BJ12" i="18"/>
  <c r="BI12" i="18"/>
  <c r="BO12" i="18" s="1"/>
  <c r="BH12" i="18"/>
  <c r="BG12" i="18"/>
  <c r="BF12" i="18"/>
  <c r="BN12" i="18" s="1"/>
  <c r="AU12" i="18"/>
  <c r="AR12" i="18"/>
  <c r="AQ12" i="18"/>
  <c r="AP12" i="18"/>
  <c r="AO12" i="18"/>
  <c r="AN12" i="18"/>
  <c r="H12" i="18"/>
  <c r="AY12" i="18" s="1"/>
  <c r="BM11" i="18"/>
  <c r="BL11" i="18"/>
  <c r="BK11" i="18"/>
  <c r="BJ11" i="18"/>
  <c r="BI11" i="18"/>
  <c r="BH11" i="18"/>
  <c r="BG11" i="18"/>
  <c r="BF11" i="18"/>
  <c r="BN11" i="18" s="1"/>
  <c r="AR11" i="18"/>
  <c r="AQ11" i="18"/>
  <c r="AP11" i="18"/>
  <c r="AO11" i="18"/>
  <c r="AN11" i="18"/>
  <c r="H11" i="18"/>
  <c r="AS4" i="18"/>
  <c r="AR4" i="18"/>
  <c r="AO4" i="18"/>
  <c r="AO3" i="18"/>
  <c r="BM38" i="15"/>
  <c r="BL38" i="15"/>
  <c r="BK38" i="15"/>
  <c r="BJ38" i="15"/>
  <c r="BI38" i="15"/>
  <c r="BO38" i="15" s="1"/>
  <c r="BH38" i="15"/>
  <c r="BG38" i="15"/>
  <c r="BN38" i="15" s="1"/>
  <c r="BP38" i="15" s="1"/>
  <c r="BR38" i="15" s="1"/>
  <c r="BF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BM37" i="15"/>
  <c r="BL37" i="15"/>
  <c r="BK37" i="15"/>
  <c r="BJ37" i="15"/>
  <c r="BI37" i="15"/>
  <c r="BO37" i="15" s="1"/>
  <c r="BH37" i="15"/>
  <c r="BG37" i="15"/>
  <c r="BF37" i="15"/>
  <c r="BN37" i="15" s="1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BM36" i="15"/>
  <c r="BL36" i="15"/>
  <c r="BK36" i="15"/>
  <c r="BJ36" i="15"/>
  <c r="BI36" i="15"/>
  <c r="BH36" i="15"/>
  <c r="BG36" i="15"/>
  <c r="BF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BM35" i="15"/>
  <c r="BL35" i="15"/>
  <c r="BK35" i="15"/>
  <c r="BJ35" i="15"/>
  <c r="BI35" i="15"/>
  <c r="BH35" i="15"/>
  <c r="BG35" i="15"/>
  <c r="BF35" i="15"/>
  <c r="BN35" i="15" s="1"/>
  <c r="BP35" i="15" s="1"/>
  <c r="BR35" i="15" s="1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BM34" i="15"/>
  <c r="BL34" i="15"/>
  <c r="BK34" i="15"/>
  <c r="BJ34" i="15"/>
  <c r="BI34" i="15"/>
  <c r="BH34" i="15"/>
  <c r="BG34" i="15"/>
  <c r="BF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BM33" i="15"/>
  <c r="BL33" i="15"/>
  <c r="BK33" i="15"/>
  <c r="BJ33" i="15"/>
  <c r="BI33" i="15"/>
  <c r="BO33" i="15" s="1"/>
  <c r="BH33" i="15"/>
  <c r="BG33" i="15"/>
  <c r="BF33" i="15"/>
  <c r="BN33" i="15" s="1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BM32" i="15"/>
  <c r="BL32" i="15"/>
  <c r="BK32" i="15"/>
  <c r="BJ32" i="15"/>
  <c r="BO32" i="15" s="1"/>
  <c r="BI32" i="15"/>
  <c r="BH32" i="15"/>
  <c r="BG32" i="15"/>
  <c r="BN32" i="15" s="1"/>
  <c r="BF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BM31" i="15"/>
  <c r="BL31" i="15"/>
  <c r="BK31" i="15"/>
  <c r="BJ31" i="15"/>
  <c r="BI31" i="15"/>
  <c r="BH31" i="15"/>
  <c r="BG31" i="15"/>
  <c r="BF31" i="15"/>
  <c r="BN31" i="15" s="1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BM30" i="15"/>
  <c r="BL30" i="15"/>
  <c r="BK30" i="15"/>
  <c r="BJ30" i="15"/>
  <c r="BI30" i="15"/>
  <c r="BH30" i="15"/>
  <c r="BG30" i="15"/>
  <c r="BN30" i="15" s="1"/>
  <c r="BP30" i="15" s="1"/>
  <c r="BR30" i="15" s="1"/>
  <c r="BF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BM29" i="15"/>
  <c r="BL29" i="15"/>
  <c r="BK29" i="15"/>
  <c r="BJ29" i="15"/>
  <c r="BI29" i="15"/>
  <c r="BO29" i="15" s="1"/>
  <c r="BH29" i="15"/>
  <c r="BG29" i="15"/>
  <c r="BF29" i="15"/>
  <c r="BN29" i="15" s="1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BM28" i="15"/>
  <c r="BL28" i="15"/>
  <c r="BK28" i="15"/>
  <c r="BJ28" i="15"/>
  <c r="BI28" i="15"/>
  <c r="BO28" i="15" s="1"/>
  <c r="BH28" i="15"/>
  <c r="BG28" i="15"/>
  <c r="BF28" i="15"/>
  <c r="BN28" i="15" s="1"/>
  <c r="BP28" i="15" s="1"/>
  <c r="BR28" i="15" s="1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BM27" i="15"/>
  <c r="BL27" i="15"/>
  <c r="BK27" i="15"/>
  <c r="BJ27" i="15"/>
  <c r="BI27" i="15"/>
  <c r="BO27" i="15" s="1"/>
  <c r="BH27" i="15"/>
  <c r="BG27" i="15"/>
  <c r="BF27" i="15"/>
  <c r="BN27" i="15" s="1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BM26" i="15"/>
  <c r="BL26" i="15"/>
  <c r="BK26" i="15"/>
  <c r="BJ26" i="15"/>
  <c r="BI26" i="15"/>
  <c r="BO26" i="15"/>
  <c r="BH26" i="15"/>
  <c r="BG26" i="15"/>
  <c r="BF26" i="15"/>
  <c r="BN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BM25" i="15"/>
  <c r="BL25" i="15"/>
  <c r="BO25" i="15"/>
  <c r="BK25" i="15"/>
  <c r="BJ25" i="15"/>
  <c r="BI25" i="15"/>
  <c r="BH25" i="15"/>
  <c r="BG25" i="15"/>
  <c r="BF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BM24" i="15"/>
  <c r="BL24" i="15"/>
  <c r="BK24" i="15"/>
  <c r="BJ24" i="15"/>
  <c r="BO24" i="15"/>
  <c r="BI24" i="15"/>
  <c r="BH24" i="15"/>
  <c r="BG24" i="15"/>
  <c r="BN24" i="15"/>
  <c r="BF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BM23" i="15"/>
  <c r="BL23" i="15"/>
  <c r="BK23" i="15"/>
  <c r="BJ23" i="15"/>
  <c r="BI23" i="15"/>
  <c r="BO23" i="15" s="1"/>
  <c r="BP23" i="15" s="1"/>
  <c r="BR23" i="15" s="1"/>
  <c r="BH23" i="15"/>
  <c r="BG23" i="15"/>
  <c r="BF23" i="15"/>
  <c r="BN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BM22" i="15"/>
  <c r="BL22" i="15"/>
  <c r="BK22" i="15"/>
  <c r="BJ22" i="15"/>
  <c r="BI22" i="15"/>
  <c r="BO22" i="15" s="1"/>
  <c r="BH22" i="15"/>
  <c r="BG22" i="15"/>
  <c r="BF22" i="15"/>
  <c r="BN22" i="15" s="1"/>
  <c r="BP22" i="15" s="1"/>
  <c r="BR22" i="15" s="1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BM21" i="15"/>
  <c r="BL21" i="15"/>
  <c r="BK21" i="15"/>
  <c r="BJ21" i="15"/>
  <c r="BI21" i="15"/>
  <c r="BO21" i="15" s="1"/>
  <c r="BH21" i="15"/>
  <c r="BG21" i="15"/>
  <c r="BF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BM20" i="15"/>
  <c r="BL20" i="15"/>
  <c r="BK20" i="15"/>
  <c r="BJ20" i="15"/>
  <c r="BI20" i="15"/>
  <c r="BO20" i="15" s="1"/>
  <c r="BH20" i="15"/>
  <c r="BG20" i="15"/>
  <c r="BF20" i="15"/>
  <c r="BN20" i="15" s="1"/>
  <c r="BP20" i="15" s="1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BM19" i="15"/>
  <c r="BL19" i="15"/>
  <c r="BK19" i="15"/>
  <c r="BJ19" i="15"/>
  <c r="BI19" i="15"/>
  <c r="BO19" i="15" s="1"/>
  <c r="BH19" i="15"/>
  <c r="BG19" i="15"/>
  <c r="BF19" i="15"/>
  <c r="BN19" i="15" s="1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BM18" i="15"/>
  <c r="BL18" i="15"/>
  <c r="BK18" i="15"/>
  <c r="BJ18" i="15"/>
  <c r="BO18" i="15" s="1"/>
  <c r="BI18" i="15"/>
  <c r="BH18" i="15"/>
  <c r="BG18" i="15"/>
  <c r="BN18" i="15" s="1"/>
  <c r="BF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BM17" i="15"/>
  <c r="BL17" i="15"/>
  <c r="BO17" i="15"/>
  <c r="BK17" i="15"/>
  <c r="BJ17" i="15"/>
  <c r="BI17" i="15"/>
  <c r="BH17" i="15"/>
  <c r="BG17" i="15"/>
  <c r="BF17" i="15"/>
  <c r="AT17" i="15"/>
  <c r="AR17" i="15"/>
  <c r="AQ17" i="15"/>
  <c r="AP17" i="15"/>
  <c r="AO17" i="15"/>
  <c r="AN17" i="15"/>
  <c r="H17" i="15"/>
  <c r="AS17" i="15" s="1"/>
  <c r="BC17" i="15"/>
  <c r="BM16" i="15"/>
  <c r="BL16" i="15"/>
  <c r="BK16" i="15"/>
  <c r="BJ16" i="15"/>
  <c r="BI16" i="15"/>
  <c r="BO16" i="15" s="1"/>
  <c r="BH16" i="15"/>
  <c r="BG16" i="15"/>
  <c r="BF16" i="15"/>
  <c r="BN16" i="15" s="1"/>
  <c r="BP16" i="15" s="1"/>
  <c r="AR16" i="15"/>
  <c r="AQ16" i="15"/>
  <c r="AP16" i="15"/>
  <c r="AO16" i="15"/>
  <c r="AN16" i="15"/>
  <c r="H16" i="15"/>
  <c r="AX16" i="15" s="1"/>
  <c r="BM15" i="15"/>
  <c r="BL15" i="15"/>
  <c r="BK15" i="15"/>
  <c r="BJ15" i="15"/>
  <c r="BI15" i="15"/>
  <c r="BH15" i="15"/>
  <c r="BG15" i="15"/>
  <c r="BN15" i="15" s="1"/>
  <c r="BF15" i="15"/>
  <c r="AR15" i="15"/>
  <c r="AQ15" i="15"/>
  <c r="AP15" i="15"/>
  <c r="AO15" i="15"/>
  <c r="AN15" i="15"/>
  <c r="H15" i="15"/>
  <c r="AT15" i="15" s="1"/>
  <c r="BB15" i="15"/>
  <c r="BC15" i="15"/>
  <c r="BM14" i="15"/>
  <c r="BL14" i="15"/>
  <c r="BK14" i="15"/>
  <c r="BJ14" i="15"/>
  <c r="BI14" i="15"/>
  <c r="BO14" i="15" s="1"/>
  <c r="BH14" i="15"/>
  <c r="BG14" i="15"/>
  <c r="BF14" i="15"/>
  <c r="BN14" i="15" s="1"/>
  <c r="BP14" i="15" s="1"/>
  <c r="BR14" i="15" s="1"/>
  <c r="AR14" i="15"/>
  <c r="AQ14" i="15"/>
  <c r="AP14" i="15"/>
  <c r="AO14" i="15"/>
  <c r="AN14" i="15"/>
  <c r="H14" i="15"/>
  <c r="AV14" i="15" s="1"/>
  <c r="BD14" i="15"/>
  <c r="BC14" i="15"/>
  <c r="BM13" i="15"/>
  <c r="BL13" i="15"/>
  <c r="BK13" i="15"/>
  <c r="BJ13" i="15"/>
  <c r="BI13" i="15"/>
  <c r="BH13" i="15"/>
  <c r="BG13" i="15"/>
  <c r="BF13" i="15"/>
  <c r="BN13" i="15" s="1"/>
  <c r="BP13" i="15" s="1"/>
  <c r="BR13" i="15" s="1"/>
  <c r="AR13" i="15"/>
  <c r="AQ13" i="15"/>
  <c r="AP13" i="15"/>
  <c r="AO13" i="15"/>
  <c r="AN13" i="15"/>
  <c r="H13" i="15"/>
  <c r="BM12" i="15"/>
  <c r="BL12" i="15"/>
  <c r="BK12" i="15"/>
  <c r="BJ12" i="15"/>
  <c r="BI12" i="15"/>
  <c r="BO12" i="15" s="1"/>
  <c r="BH12" i="15"/>
  <c r="BG12" i="15"/>
  <c r="BF12" i="15"/>
  <c r="BN12" i="15" s="1"/>
  <c r="BP12" i="15" s="1"/>
  <c r="BR12" i="15" s="1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BM11" i="15"/>
  <c r="BL11" i="15"/>
  <c r="BK11" i="15"/>
  <c r="BJ11" i="15"/>
  <c r="BI11" i="15"/>
  <c r="BO11" i="15"/>
  <c r="BH11" i="15"/>
  <c r="BG11" i="15"/>
  <c r="BF11" i="15"/>
  <c r="BN11" i="15"/>
  <c r="BP11" i="15" s="1"/>
  <c r="AR11" i="15"/>
  <c r="AQ11" i="15"/>
  <c r="AP11" i="15"/>
  <c r="AO11" i="15"/>
  <c r="AN11" i="15"/>
  <c r="H11" i="15"/>
  <c r="AZ11" i="15" s="1"/>
  <c r="AS4" i="15"/>
  <c r="AR4" i="15"/>
  <c r="AO4" i="15"/>
  <c r="AO3" i="15"/>
  <c r="BM38" i="11"/>
  <c r="BL38" i="11"/>
  <c r="BK38" i="11"/>
  <c r="BJ38" i="11"/>
  <c r="BO38" i="11" s="1"/>
  <c r="BI38" i="11"/>
  <c r="BH38" i="11"/>
  <c r="BG38" i="11"/>
  <c r="BN38" i="11" s="1"/>
  <c r="BP38" i="11" s="1"/>
  <c r="BR38" i="11" s="1"/>
  <c r="BF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BM37" i="11"/>
  <c r="BL37" i="11"/>
  <c r="BK37" i="11"/>
  <c r="BO37" i="11" s="1"/>
  <c r="BJ37" i="11"/>
  <c r="BI37" i="11"/>
  <c r="BH37" i="11"/>
  <c r="BN37" i="11" s="1"/>
  <c r="BP37" i="11" s="1"/>
  <c r="BR37" i="11" s="1"/>
  <c r="BG37" i="11"/>
  <c r="BF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BM36" i="11"/>
  <c r="BL36" i="11"/>
  <c r="BK36" i="11"/>
  <c r="BJ36" i="11"/>
  <c r="BI36" i="11"/>
  <c r="BO36" i="11"/>
  <c r="BH36" i="11"/>
  <c r="BG36" i="11"/>
  <c r="BF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BM35" i="11"/>
  <c r="BL35" i="11"/>
  <c r="BK35" i="11"/>
  <c r="BJ35" i="11"/>
  <c r="BI35" i="11"/>
  <c r="BO35" i="11" s="1"/>
  <c r="BH35" i="11"/>
  <c r="BG35" i="11"/>
  <c r="BF35" i="11"/>
  <c r="BN35" i="11" s="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BM34" i="11"/>
  <c r="BL34" i="11"/>
  <c r="BK34" i="11"/>
  <c r="BJ34" i="11"/>
  <c r="BI34" i="11"/>
  <c r="BH34" i="11"/>
  <c r="BG34" i="11"/>
  <c r="BF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BM33" i="11"/>
  <c r="BL33" i="11"/>
  <c r="BK33" i="11"/>
  <c r="BJ33" i="11"/>
  <c r="BI33" i="11"/>
  <c r="BO33" i="11" s="1"/>
  <c r="BH33" i="11"/>
  <c r="BG33" i="11"/>
  <c r="BF33" i="11"/>
  <c r="BN33" i="11" s="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BM32" i="11"/>
  <c r="BL32" i="11"/>
  <c r="BK32" i="11"/>
  <c r="BJ32" i="11"/>
  <c r="BI32" i="11"/>
  <c r="BH32" i="11"/>
  <c r="BG32" i="11"/>
  <c r="BN32" i="11" s="1"/>
  <c r="BF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BM31" i="11"/>
  <c r="BL31" i="11"/>
  <c r="BK31" i="11"/>
  <c r="BJ31" i="11"/>
  <c r="BO31" i="11"/>
  <c r="BI31" i="11"/>
  <c r="BH31" i="11"/>
  <c r="BG31" i="11"/>
  <c r="BN31" i="11"/>
  <c r="BP31" i="11" s="1"/>
  <c r="BF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BM30" i="11"/>
  <c r="BL30" i="11"/>
  <c r="BK30" i="11"/>
  <c r="BJ30" i="11"/>
  <c r="BO30" i="11" s="1"/>
  <c r="BI30" i="11"/>
  <c r="BH30" i="11"/>
  <c r="BG30" i="11"/>
  <c r="BN30" i="11" s="1"/>
  <c r="BF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BM29" i="11"/>
  <c r="BL29" i="11"/>
  <c r="BK29" i="11"/>
  <c r="BJ29" i="11"/>
  <c r="BI29" i="11"/>
  <c r="BO29" i="11" s="1"/>
  <c r="BH29" i="11"/>
  <c r="BG29" i="11"/>
  <c r="BF29" i="11"/>
  <c r="BN29" i="11" s="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BM28" i="11"/>
  <c r="BL28" i="11"/>
  <c r="BK28" i="11"/>
  <c r="BJ28" i="11"/>
  <c r="BI28" i="11"/>
  <c r="BO28" i="11" s="1"/>
  <c r="BH28" i="11"/>
  <c r="BG28" i="11"/>
  <c r="BF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BM27" i="11"/>
  <c r="BL27" i="11"/>
  <c r="BK27" i="11"/>
  <c r="BJ27" i="11"/>
  <c r="BO27" i="11"/>
  <c r="BI27" i="11"/>
  <c r="BH27" i="11"/>
  <c r="BG27" i="11"/>
  <c r="BN27" i="11"/>
  <c r="BF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BM26" i="11"/>
  <c r="BL26" i="11"/>
  <c r="BK26" i="11"/>
  <c r="BJ26" i="11"/>
  <c r="BI26" i="11"/>
  <c r="BH26" i="11"/>
  <c r="BG26" i="11"/>
  <c r="BF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BM25" i="11"/>
  <c r="BL25" i="11"/>
  <c r="BK25" i="11"/>
  <c r="BJ25" i="11"/>
  <c r="BO25" i="11"/>
  <c r="BI25" i="11"/>
  <c r="BH25" i="11"/>
  <c r="BG25" i="11"/>
  <c r="BN25" i="11"/>
  <c r="BP25" i="11" s="1"/>
  <c r="BR25" i="11" s="1"/>
  <c r="BF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BM24" i="11"/>
  <c r="BL24" i="11"/>
  <c r="BK24" i="11"/>
  <c r="BJ24" i="11"/>
  <c r="BI24" i="11"/>
  <c r="BH24" i="11"/>
  <c r="BG24" i="11"/>
  <c r="BF24" i="11"/>
  <c r="BN24" i="11" s="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BM23" i="11"/>
  <c r="BL23" i="11"/>
  <c r="BK23" i="11"/>
  <c r="BJ23" i="11"/>
  <c r="BI23" i="11"/>
  <c r="BO23" i="11" s="1"/>
  <c r="BH23" i="11"/>
  <c r="BG23" i="11"/>
  <c r="BF23" i="11"/>
  <c r="BN23" i="11" s="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BM22" i="11"/>
  <c r="BL22" i="11"/>
  <c r="BK22" i="11"/>
  <c r="BJ22" i="11"/>
  <c r="BI22" i="11"/>
  <c r="BO22" i="11" s="1"/>
  <c r="BH22" i="11"/>
  <c r="BG22" i="11"/>
  <c r="BF22" i="11"/>
  <c r="BN22" i="11" s="1"/>
  <c r="BP22" i="11" s="1"/>
  <c r="BR22" i="11" s="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BM21" i="11"/>
  <c r="BL21" i="11"/>
  <c r="BK21" i="11"/>
  <c r="BJ21" i="11"/>
  <c r="BI21" i="11"/>
  <c r="BO21" i="11" s="1"/>
  <c r="BH21" i="11"/>
  <c r="BG21" i="11"/>
  <c r="BF21" i="11"/>
  <c r="BN21" i="11" s="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BM20" i="11"/>
  <c r="BL20" i="11"/>
  <c r="BK20" i="11"/>
  <c r="BJ20" i="11"/>
  <c r="BI20" i="11"/>
  <c r="BO20" i="11" s="1"/>
  <c r="BH20" i="11"/>
  <c r="BG20" i="11"/>
  <c r="BF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BM19" i="11"/>
  <c r="BL19" i="11"/>
  <c r="BK19" i="11"/>
  <c r="BJ19" i="11"/>
  <c r="BO19" i="11"/>
  <c r="BI19" i="11"/>
  <c r="BH19" i="11"/>
  <c r="BG19" i="11"/>
  <c r="BN19" i="11"/>
  <c r="BF19" i="11"/>
  <c r="AR19" i="11"/>
  <c r="AQ19" i="11"/>
  <c r="AP19" i="11"/>
  <c r="AO19" i="11"/>
  <c r="AN19" i="11"/>
  <c r="H19" i="11"/>
  <c r="BC19" i="11"/>
  <c r="BM18" i="11"/>
  <c r="BL18" i="11"/>
  <c r="BK18" i="11"/>
  <c r="BJ18" i="11"/>
  <c r="BI18" i="11"/>
  <c r="BH18" i="11"/>
  <c r="BG18" i="11"/>
  <c r="BF18" i="11"/>
  <c r="BN18" i="11" s="1"/>
  <c r="AR18" i="11"/>
  <c r="AQ18" i="11"/>
  <c r="AP18" i="11"/>
  <c r="AO18" i="11"/>
  <c r="AN18" i="11"/>
  <c r="H18" i="11"/>
  <c r="BD18" i="11" s="1"/>
  <c r="BM17" i="11"/>
  <c r="BL17" i="11"/>
  <c r="BK17" i="11"/>
  <c r="BJ17" i="11"/>
  <c r="BI17" i="11"/>
  <c r="BO17" i="11" s="1"/>
  <c r="BH17" i="11"/>
  <c r="BG17" i="11"/>
  <c r="BF17" i="11"/>
  <c r="BN17" i="11" s="1"/>
  <c r="BP17" i="11" s="1"/>
  <c r="BR17" i="11" s="1"/>
  <c r="AR17" i="11"/>
  <c r="AQ17" i="11"/>
  <c r="AP17" i="11"/>
  <c r="AO17" i="11"/>
  <c r="AN17" i="11"/>
  <c r="H17" i="11"/>
  <c r="BD17" i="11" s="1"/>
  <c r="BM16" i="11"/>
  <c r="BL16" i="11"/>
  <c r="BK16" i="11"/>
  <c r="BJ16" i="11"/>
  <c r="BI16" i="11"/>
  <c r="BO16" i="11" s="1"/>
  <c r="BH16" i="11"/>
  <c r="BG16" i="11"/>
  <c r="BF16" i="11"/>
  <c r="BN16" i="11" s="1"/>
  <c r="BP16" i="11" s="1"/>
  <c r="BR16" i="11" s="1"/>
  <c r="BA16" i="11"/>
  <c r="AR16" i="11"/>
  <c r="AQ16" i="11"/>
  <c r="AP16" i="11"/>
  <c r="AO16" i="11"/>
  <c r="AN16" i="11"/>
  <c r="H16" i="11"/>
  <c r="AT16" i="11" s="1"/>
  <c r="BC16" i="11"/>
  <c r="AY16" i="11"/>
  <c r="BD16" i="11"/>
  <c r="BM15" i="11"/>
  <c r="BL15" i="11"/>
  <c r="BK15" i="11"/>
  <c r="BJ15" i="11"/>
  <c r="BO15" i="11" s="1"/>
  <c r="BI15" i="11"/>
  <c r="BH15" i="11"/>
  <c r="BG15" i="11"/>
  <c r="BN15" i="11" s="1"/>
  <c r="BF15" i="11"/>
  <c r="AR15" i="11"/>
  <c r="AQ15" i="11"/>
  <c r="AP15" i="11"/>
  <c r="AO15" i="11"/>
  <c r="AN15" i="11"/>
  <c r="H15" i="11"/>
  <c r="BC15" i="11" s="1"/>
  <c r="BM14" i="11"/>
  <c r="BL14" i="11"/>
  <c r="BK14" i="11"/>
  <c r="BJ14" i="11"/>
  <c r="BI14" i="11"/>
  <c r="BO14" i="11" s="1"/>
  <c r="BH14" i="11"/>
  <c r="BG14" i="11"/>
  <c r="BF14" i="11"/>
  <c r="AR14" i="11"/>
  <c r="AQ14" i="11"/>
  <c r="AP14" i="11"/>
  <c r="AO14" i="11"/>
  <c r="AN14" i="11"/>
  <c r="H14" i="11"/>
  <c r="BD14" i="11"/>
  <c r="BM13" i="11"/>
  <c r="BL13" i="11"/>
  <c r="BK13" i="11"/>
  <c r="BJ13" i="11"/>
  <c r="BO13" i="11" s="1"/>
  <c r="BI13" i="11"/>
  <c r="BH13" i="11"/>
  <c r="BG13" i="11"/>
  <c r="BF13" i="11"/>
  <c r="BN13" i="11" s="1"/>
  <c r="BP13" i="11" s="1"/>
  <c r="BR13" i="11" s="1"/>
  <c r="AW13" i="11"/>
  <c r="AR13" i="11"/>
  <c r="AQ13" i="11"/>
  <c r="AP13" i="11"/>
  <c r="AO13" i="11"/>
  <c r="AN13" i="11"/>
  <c r="H13" i="11"/>
  <c r="AT13" i="11" s="1"/>
  <c r="BC13" i="11"/>
  <c r="BA13" i="11"/>
  <c r="BD13" i="11"/>
  <c r="BM12" i="11"/>
  <c r="BL12" i="11"/>
  <c r="BK12" i="11"/>
  <c r="BJ12" i="11"/>
  <c r="BO12" i="11" s="1"/>
  <c r="BI12" i="11"/>
  <c r="BH12" i="11"/>
  <c r="BG12" i="11"/>
  <c r="BN12" i="11" s="1"/>
  <c r="BP12" i="11" s="1"/>
  <c r="BR12" i="11" s="1"/>
  <c r="BF12" i="11"/>
  <c r="AR12" i="11"/>
  <c r="AQ12" i="11"/>
  <c r="AP12" i="11"/>
  <c r="AO12" i="11"/>
  <c r="AN12" i="11"/>
  <c r="H12" i="11"/>
  <c r="BD12" i="11"/>
  <c r="BM11" i="11"/>
  <c r="BL11" i="11"/>
  <c r="BK11" i="11"/>
  <c r="BJ11" i="11"/>
  <c r="BI11" i="11"/>
  <c r="BH11" i="11"/>
  <c r="BG11" i="11"/>
  <c r="BF11" i="11"/>
  <c r="BN11" i="11" s="1"/>
  <c r="BP11" i="11" s="1"/>
  <c r="BR11" i="11" s="1"/>
  <c r="AR11" i="11"/>
  <c r="AQ11" i="11"/>
  <c r="AP11" i="11"/>
  <c r="AO11" i="11"/>
  <c r="AN11" i="11"/>
  <c r="H11" i="11"/>
  <c r="BC11" i="11"/>
  <c r="AS4" i="11"/>
  <c r="AR4" i="11"/>
  <c r="AO4" i="11"/>
  <c r="AO3" i="11"/>
  <c r="BM17" i="7"/>
  <c r="BL17" i="7"/>
  <c r="BK17" i="7"/>
  <c r="BJ17" i="7"/>
  <c r="BO17" i="7" s="1"/>
  <c r="BI17" i="7"/>
  <c r="BH17" i="7"/>
  <c r="BG17" i="7"/>
  <c r="BN17" i="7" s="1"/>
  <c r="BP17" i="7" s="1"/>
  <c r="BR17" i="7" s="1"/>
  <c r="BF17" i="7"/>
  <c r="AU17" i="7"/>
  <c r="AR17" i="7"/>
  <c r="AQ17" i="7"/>
  <c r="AP17" i="7"/>
  <c r="AO17" i="7"/>
  <c r="AN17" i="7"/>
  <c r="H17" i="7"/>
  <c r="BM16" i="7"/>
  <c r="BL16" i="7"/>
  <c r="BK16" i="7"/>
  <c r="BJ16" i="7"/>
  <c r="BI16" i="7"/>
  <c r="BH16" i="7"/>
  <c r="BG16" i="7"/>
  <c r="BF16" i="7"/>
  <c r="AU16" i="7"/>
  <c r="AR16" i="7"/>
  <c r="AQ16" i="7"/>
  <c r="AP16" i="7"/>
  <c r="AO16" i="7"/>
  <c r="AN16" i="7"/>
  <c r="H16" i="7"/>
  <c r="AT16" i="7" s="1"/>
  <c r="BM15" i="7"/>
  <c r="BL15" i="7"/>
  <c r="BK15" i="7"/>
  <c r="BJ15" i="7"/>
  <c r="BI15" i="7"/>
  <c r="BH15" i="7"/>
  <c r="BG15" i="7"/>
  <c r="BF15" i="7"/>
  <c r="AU15" i="7"/>
  <c r="AR15" i="7"/>
  <c r="AQ15" i="7"/>
  <c r="AP15" i="7"/>
  <c r="AO15" i="7"/>
  <c r="AN15" i="7"/>
  <c r="H15" i="7"/>
  <c r="BM14" i="7"/>
  <c r="BL14" i="7"/>
  <c r="BK14" i="7"/>
  <c r="BJ14" i="7"/>
  <c r="BI14" i="7"/>
  <c r="BO14" i="7" s="1"/>
  <c r="BH14" i="7"/>
  <c r="BG14" i="7"/>
  <c r="BF14" i="7"/>
  <c r="BN14" i="7" s="1"/>
  <c r="BP14" i="7" s="1"/>
  <c r="BR14" i="7" s="1"/>
  <c r="AU14" i="7"/>
  <c r="AR14" i="7"/>
  <c r="AQ14" i="7"/>
  <c r="AP14" i="7"/>
  <c r="AO14" i="7"/>
  <c r="AN14" i="7"/>
  <c r="H14" i="7"/>
  <c r="AS14" i="7" s="1"/>
  <c r="BM13" i="7"/>
  <c r="BL13" i="7"/>
  <c r="BK13" i="7"/>
  <c r="BJ13" i="7"/>
  <c r="BI13" i="7"/>
  <c r="BO13" i="7"/>
  <c r="BH13" i="7"/>
  <c r="BG13" i="7"/>
  <c r="BF13" i="7"/>
  <c r="BN13" i="7"/>
  <c r="BP13" i="7" s="1"/>
  <c r="BR13" i="7" s="1"/>
  <c r="AU13" i="7"/>
  <c r="AR13" i="7"/>
  <c r="AQ13" i="7"/>
  <c r="AP13" i="7"/>
  <c r="AO13" i="7"/>
  <c r="AN13" i="7"/>
  <c r="H13" i="7"/>
  <c r="BM12" i="7"/>
  <c r="BL12" i="7"/>
  <c r="BK12" i="7"/>
  <c r="BJ12" i="7"/>
  <c r="BO12" i="7" s="1"/>
  <c r="BI12" i="7"/>
  <c r="BH12" i="7"/>
  <c r="BG12" i="7"/>
  <c r="BN12" i="7"/>
  <c r="BF12" i="7"/>
  <c r="AU12" i="7"/>
  <c r="AR12" i="7"/>
  <c r="AQ12" i="7"/>
  <c r="AP12" i="7"/>
  <c r="AO12" i="7"/>
  <c r="AN12" i="7"/>
  <c r="H12" i="7"/>
  <c r="AV12" i="7" s="1"/>
  <c r="BM11" i="7"/>
  <c r="BL11" i="7"/>
  <c r="BK11" i="7"/>
  <c r="BJ11" i="7"/>
  <c r="BI11" i="7"/>
  <c r="BO11" i="7" s="1"/>
  <c r="BH11" i="7"/>
  <c r="BG11" i="7"/>
  <c r="BF11" i="7"/>
  <c r="AU11" i="7"/>
  <c r="AR11" i="7"/>
  <c r="AQ11" i="7"/>
  <c r="AP11" i="7"/>
  <c r="AO11" i="7"/>
  <c r="AN11" i="7"/>
  <c r="H11" i="7"/>
  <c r="AV11" i="7" s="1"/>
  <c r="AS4" i="7"/>
  <c r="AR4" i="7"/>
  <c r="AO4" i="7"/>
  <c r="AO3" i="7"/>
  <c r="AS11" i="32"/>
  <c r="AU11" i="32"/>
  <c r="AW11" i="32"/>
  <c r="AY11" i="32"/>
  <c r="BA11" i="32"/>
  <c r="AS12" i="32"/>
  <c r="AU12" i="32"/>
  <c r="AW12" i="32"/>
  <c r="AY12" i="32"/>
  <c r="BA12" i="32"/>
  <c r="AU13" i="32"/>
  <c r="AS14" i="32"/>
  <c r="AU14" i="32"/>
  <c r="AW14" i="32"/>
  <c r="AY14" i="32"/>
  <c r="BA14" i="32"/>
  <c r="AS15" i="32"/>
  <c r="AU15" i="32"/>
  <c r="AW15" i="32"/>
  <c r="AY15" i="32"/>
  <c r="BA15" i="32"/>
  <c r="BC15" i="32"/>
  <c r="BD16" i="32"/>
  <c r="BB16" i="32"/>
  <c r="AZ16" i="32"/>
  <c r="AX16" i="32"/>
  <c r="AV16" i="32"/>
  <c r="AT16" i="32"/>
  <c r="AS16" i="32"/>
  <c r="AW16" i="32"/>
  <c r="BA16" i="32"/>
  <c r="AT17" i="32"/>
  <c r="AV17" i="32"/>
  <c r="AX17" i="32"/>
  <c r="AZ17" i="32"/>
  <c r="BB17" i="32"/>
  <c r="BD17" i="32"/>
  <c r="AS17" i="32"/>
  <c r="AU17" i="32"/>
  <c r="AW17" i="32"/>
  <c r="AY17" i="32"/>
  <c r="BA17" i="32"/>
  <c r="AS11" i="30"/>
  <c r="AU11" i="30"/>
  <c r="AW11" i="30"/>
  <c r="AY11" i="30"/>
  <c r="BA11" i="30"/>
  <c r="AS12" i="30"/>
  <c r="AU12" i="30"/>
  <c r="AW12" i="30"/>
  <c r="AY12" i="30"/>
  <c r="BA12" i="30"/>
  <c r="AS13" i="30"/>
  <c r="AU13" i="30"/>
  <c r="AW13" i="30"/>
  <c r="AY13" i="30"/>
  <c r="BA13" i="30"/>
  <c r="AS14" i="30"/>
  <c r="AU14" i="30"/>
  <c r="AW14" i="30"/>
  <c r="AY14" i="30"/>
  <c r="BA14" i="30"/>
  <c r="AU15" i="30"/>
  <c r="BD15" i="30"/>
  <c r="BD17" i="30"/>
  <c r="AU16" i="30"/>
  <c r="AS17" i="30"/>
  <c r="AU17" i="30"/>
  <c r="AW17" i="30"/>
  <c r="AY17" i="30"/>
  <c r="BA17" i="30"/>
  <c r="AS11" i="23"/>
  <c r="AU11" i="23"/>
  <c r="AW11" i="23"/>
  <c r="AY11" i="23"/>
  <c r="BA11" i="23"/>
  <c r="AS12" i="23"/>
  <c r="AU12" i="23"/>
  <c r="AW12" i="23"/>
  <c r="AY12" i="23"/>
  <c r="BA12" i="23"/>
  <c r="AS13" i="23"/>
  <c r="AU13" i="23"/>
  <c r="AW13" i="23"/>
  <c r="AY13" i="23"/>
  <c r="BA13" i="23"/>
  <c r="AS14" i="23"/>
  <c r="AU14" i="23"/>
  <c r="AW14" i="23"/>
  <c r="AY14" i="23"/>
  <c r="BA14" i="23"/>
  <c r="AS15" i="23"/>
  <c r="AU15" i="23"/>
  <c r="AW15" i="23"/>
  <c r="AY15" i="23"/>
  <c r="BA15" i="23"/>
  <c r="BD15" i="23"/>
  <c r="BO18" i="23"/>
  <c r="BP18" i="23" s="1"/>
  <c r="BR18" i="23" s="1"/>
  <c r="BO22" i="23"/>
  <c r="BO34" i="23"/>
  <c r="BO38" i="23"/>
  <c r="AS16" i="23"/>
  <c r="AU16" i="23"/>
  <c r="AW16" i="23"/>
  <c r="AY16" i="23"/>
  <c r="BA16" i="23"/>
  <c r="AS17" i="23"/>
  <c r="AU17" i="23"/>
  <c r="AW17" i="23"/>
  <c r="AY17" i="23"/>
  <c r="BA17" i="23"/>
  <c r="BD11" i="18"/>
  <c r="BB11" i="18"/>
  <c r="AZ11" i="18"/>
  <c r="AX11" i="18"/>
  <c r="AV11" i="18"/>
  <c r="AT11" i="18"/>
  <c r="AS11" i="18"/>
  <c r="AW11" i="18"/>
  <c r="BA11" i="18"/>
  <c r="BD13" i="18"/>
  <c r="BB13" i="18"/>
  <c r="AZ13" i="18"/>
  <c r="AX13" i="18"/>
  <c r="AV13" i="18"/>
  <c r="AT13" i="18"/>
  <c r="AS13" i="18"/>
  <c r="AW13" i="18"/>
  <c r="BA13" i="18"/>
  <c r="AU11" i="18"/>
  <c r="AY11" i="18"/>
  <c r="BC11" i="18"/>
  <c r="BO11" i="18"/>
  <c r="BD12" i="18"/>
  <c r="BB12" i="18"/>
  <c r="AZ12" i="18"/>
  <c r="AX12" i="18"/>
  <c r="AV12" i="18"/>
  <c r="AT12" i="18"/>
  <c r="AS12" i="18"/>
  <c r="AW12" i="18"/>
  <c r="BA12" i="18"/>
  <c r="AU13" i="18"/>
  <c r="AY13" i="18"/>
  <c r="BC13" i="18"/>
  <c r="BD14" i="18"/>
  <c r="BB14" i="18"/>
  <c r="AZ14" i="18"/>
  <c r="AX14" i="18"/>
  <c r="AV14" i="18"/>
  <c r="AT14" i="18"/>
  <c r="AS14" i="18"/>
  <c r="AW14" i="18"/>
  <c r="BA14" i="18"/>
  <c r="AS15" i="18"/>
  <c r="AU15" i="18"/>
  <c r="AW15" i="18"/>
  <c r="AY15" i="18"/>
  <c r="BA15" i="18"/>
  <c r="BC15" i="18"/>
  <c r="AT15" i="18"/>
  <c r="AV15" i="18"/>
  <c r="AX15" i="18"/>
  <c r="AZ15" i="18"/>
  <c r="BB15" i="18"/>
  <c r="BP23" i="18"/>
  <c r="BQ23" i="18" s="1"/>
  <c r="BP31" i="18"/>
  <c r="BQ31" i="18" s="1"/>
  <c r="AT16" i="18"/>
  <c r="AV16" i="18"/>
  <c r="AZ16" i="18"/>
  <c r="BB16" i="18"/>
  <c r="BD16" i="18"/>
  <c r="AT17" i="18"/>
  <c r="AV17" i="18"/>
  <c r="AX17" i="18"/>
  <c r="AZ17" i="18"/>
  <c r="BB17" i="18"/>
  <c r="BD17" i="18"/>
  <c r="AS16" i="18"/>
  <c r="AU16" i="18"/>
  <c r="AY16" i="18"/>
  <c r="BA16" i="18"/>
  <c r="AS17" i="18"/>
  <c r="AU17" i="18"/>
  <c r="AW17" i="18"/>
  <c r="AY17" i="18"/>
  <c r="BA17" i="18"/>
  <c r="AY13" i="15"/>
  <c r="AS14" i="15"/>
  <c r="AU14" i="15"/>
  <c r="AW14" i="15"/>
  <c r="AY14" i="15"/>
  <c r="BA14" i="15"/>
  <c r="AS15" i="15"/>
  <c r="AU15" i="15"/>
  <c r="AW15" i="15"/>
  <c r="AY15" i="15"/>
  <c r="BA15" i="15"/>
  <c r="BD15" i="15"/>
  <c r="BP26" i="15"/>
  <c r="BR26" i="15" s="1"/>
  <c r="BQ26" i="15"/>
  <c r="AS16" i="15"/>
  <c r="AW16" i="15"/>
  <c r="BA16" i="15"/>
  <c r="AU17" i="15"/>
  <c r="AY17" i="15"/>
  <c r="AV11" i="11"/>
  <c r="AX11" i="11"/>
  <c r="AZ11" i="11"/>
  <c r="BB11" i="11"/>
  <c r="BD11" i="11"/>
  <c r="AT12" i="11"/>
  <c r="AW12" i="11"/>
  <c r="AY12" i="11"/>
  <c r="BA12" i="11"/>
  <c r="BC12" i="11"/>
  <c r="AS13" i="11"/>
  <c r="AV13" i="11"/>
  <c r="AX13" i="11"/>
  <c r="AZ13" i="11"/>
  <c r="BB13" i="11"/>
  <c r="AU14" i="11"/>
  <c r="AW14" i="11"/>
  <c r="AY14" i="11"/>
  <c r="BA14" i="11"/>
  <c r="BC14" i="11"/>
  <c r="AW15" i="11"/>
  <c r="AS16" i="11"/>
  <c r="AV16" i="11"/>
  <c r="AX16" i="11"/>
  <c r="AZ16" i="11"/>
  <c r="BB16" i="11"/>
  <c r="AW17" i="11"/>
  <c r="AY18" i="11"/>
  <c r="AS11" i="11"/>
  <c r="AW11" i="11"/>
  <c r="AY11" i="11"/>
  <c r="BA11" i="11"/>
  <c r="AS12" i="11"/>
  <c r="AV12" i="11"/>
  <c r="AX12" i="11"/>
  <c r="AZ12" i="11"/>
  <c r="BB12" i="11"/>
  <c r="AS14" i="11"/>
  <c r="AV14" i="11"/>
  <c r="AX14" i="11"/>
  <c r="AZ14" i="11"/>
  <c r="BB14" i="11"/>
  <c r="BB17" i="11"/>
  <c r="AX17" i="11"/>
  <c r="AS17" i="11"/>
  <c r="BC17" i="11"/>
  <c r="BB18" i="11"/>
  <c r="AX18" i="11"/>
  <c r="AT18" i="11"/>
  <c r="AW18" i="11"/>
  <c r="AT19" i="11"/>
  <c r="AV19" i="11"/>
  <c r="AX19" i="11"/>
  <c r="AZ19" i="11"/>
  <c r="BB19" i="11"/>
  <c r="BD19" i="11"/>
  <c r="AS19" i="11"/>
  <c r="AU19" i="11"/>
  <c r="AW19" i="11"/>
  <c r="AY19" i="11"/>
  <c r="BA19" i="11"/>
  <c r="AW11" i="7"/>
  <c r="AS12" i="7"/>
  <c r="AZ12" i="7"/>
  <c r="BB13" i="7"/>
  <c r="BD15" i="7"/>
  <c r="AV16" i="7"/>
  <c r="BB16" i="7"/>
  <c r="AV17" i="7"/>
  <c r="AX17" i="7"/>
  <c r="BA17" i="7"/>
  <c r="AZ15" i="7"/>
  <c r="AY16" i="7"/>
  <c r="AS17" i="7"/>
  <c r="AZ17" i="7"/>
  <c r="BB17" i="7"/>
  <c r="BM38" i="2"/>
  <c r="BL38" i="2"/>
  <c r="BK38" i="2"/>
  <c r="BJ38" i="2"/>
  <c r="BI38" i="2"/>
  <c r="BH38" i="2"/>
  <c r="BG38" i="2"/>
  <c r="BF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BM37" i="2"/>
  <c r="BL37" i="2"/>
  <c r="BK37" i="2"/>
  <c r="BJ37" i="2"/>
  <c r="BI37" i="2"/>
  <c r="BO37" i="2" s="1"/>
  <c r="BH37" i="2"/>
  <c r="BG37" i="2"/>
  <c r="BF37" i="2"/>
  <c r="BN37" i="2" s="1"/>
  <c r="BP37" i="2" s="1"/>
  <c r="BR37" i="2" s="1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BM36" i="2"/>
  <c r="BL36" i="2"/>
  <c r="BK36" i="2"/>
  <c r="BJ36" i="2"/>
  <c r="BI36" i="2"/>
  <c r="BH36" i="2"/>
  <c r="BG36" i="2"/>
  <c r="BF36" i="2"/>
  <c r="BN36" i="2" s="1"/>
  <c r="BP36" i="2" s="1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BM35" i="2"/>
  <c r="BL35" i="2"/>
  <c r="BK35" i="2"/>
  <c r="BJ35" i="2"/>
  <c r="BO35" i="2" s="1"/>
  <c r="BI35" i="2"/>
  <c r="BH35" i="2"/>
  <c r="BG35" i="2"/>
  <c r="BN35" i="2" s="1"/>
  <c r="BF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BM34" i="2"/>
  <c r="BL34" i="2"/>
  <c r="BK34" i="2"/>
  <c r="BJ34" i="2"/>
  <c r="BI34" i="2"/>
  <c r="BO34" i="2" s="1"/>
  <c r="BH34" i="2"/>
  <c r="BG34" i="2"/>
  <c r="BF34" i="2"/>
  <c r="BN34" i="2" s="1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BM33" i="2"/>
  <c r="BL33" i="2"/>
  <c r="BK33" i="2"/>
  <c r="BJ33" i="2"/>
  <c r="BI33" i="2"/>
  <c r="BO33" i="2" s="1"/>
  <c r="BH33" i="2"/>
  <c r="BG33" i="2"/>
  <c r="BF33" i="2"/>
  <c r="BN33" i="2" s="1"/>
  <c r="BP33" i="2" s="1"/>
  <c r="BR33" i="2" s="1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BM32" i="2"/>
  <c r="BL32" i="2"/>
  <c r="BK32" i="2"/>
  <c r="BJ32" i="2"/>
  <c r="BO32" i="2" s="1"/>
  <c r="BI32" i="2"/>
  <c r="BH32" i="2"/>
  <c r="BG32" i="2"/>
  <c r="BF32" i="2"/>
  <c r="BN32" i="2" s="1"/>
  <c r="BP32" i="2" s="1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BM31" i="2"/>
  <c r="BL31" i="2"/>
  <c r="BK31" i="2"/>
  <c r="BJ31" i="2"/>
  <c r="BO31" i="2" s="1"/>
  <c r="BI31" i="2"/>
  <c r="BH31" i="2"/>
  <c r="BG31" i="2"/>
  <c r="BN31" i="2" s="1"/>
  <c r="BF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BM30" i="2"/>
  <c r="BL30" i="2"/>
  <c r="BK30" i="2"/>
  <c r="BJ30" i="2"/>
  <c r="BI30" i="2"/>
  <c r="BH30" i="2"/>
  <c r="BG30" i="2"/>
  <c r="BF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BM29" i="2"/>
  <c r="BL29" i="2"/>
  <c r="BK29" i="2"/>
  <c r="BJ29" i="2"/>
  <c r="BI29" i="2"/>
  <c r="BO29" i="2"/>
  <c r="BH29" i="2"/>
  <c r="BG29" i="2"/>
  <c r="BF29" i="2"/>
  <c r="BN29" i="2"/>
  <c r="BP29" i="2" s="1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BM28" i="2"/>
  <c r="BL28" i="2"/>
  <c r="BK28" i="2"/>
  <c r="BJ28" i="2"/>
  <c r="BO28" i="2"/>
  <c r="BI28" i="2"/>
  <c r="BH28" i="2"/>
  <c r="BG28" i="2"/>
  <c r="BF28" i="2"/>
  <c r="BN28" i="2" s="1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BM27" i="2"/>
  <c r="BL27" i="2"/>
  <c r="BK27" i="2"/>
  <c r="BJ27" i="2"/>
  <c r="BO27" i="2" s="1"/>
  <c r="BI27" i="2"/>
  <c r="BH27" i="2"/>
  <c r="BG27" i="2"/>
  <c r="BN27" i="2" s="1"/>
  <c r="BP27" i="2" s="1"/>
  <c r="BR27" i="2" s="1"/>
  <c r="BF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BM26" i="2"/>
  <c r="BL26" i="2"/>
  <c r="BK26" i="2"/>
  <c r="BJ26" i="2"/>
  <c r="BI26" i="2"/>
  <c r="BO26" i="2" s="1"/>
  <c r="BH26" i="2"/>
  <c r="BG26" i="2"/>
  <c r="BF26" i="2"/>
  <c r="BN26" i="2" s="1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BM25" i="2"/>
  <c r="BL25" i="2"/>
  <c r="BK25" i="2"/>
  <c r="BJ25" i="2"/>
  <c r="BI25" i="2"/>
  <c r="BO25" i="2" s="1"/>
  <c r="BH25" i="2"/>
  <c r="BG25" i="2"/>
  <c r="BF25" i="2"/>
  <c r="BN25" i="2" s="1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BM24" i="2"/>
  <c r="BL24" i="2"/>
  <c r="BK24" i="2"/>
  <c r="BJ24" i="2"/>
  <c r="BO24" i="2" s="1"/>
  <c r="BI24" i="2"/>
  <c r="BH24" i="2"/>
  <c r="BG24" i="2"/>
  <c r="BN24" i="2" s="1"/>
  <c r="BF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BM23" i="2"/>
  <c r="BL23" i="2"/>
  <c r="BK23" i="2"/>
  <c r="BJ23" i="2"/>
  <c r="BI23" i="2"/>
  <c r="BO23" i="2" s="1"/>
  <c r="BH23" i="2"/>
  <c r="BG23" i="2"/>
  <c r="BF23" i="2"/>
  <c r="BN23" i="2" s="1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BM22" i="2"/>
  <c r="BL22" i="2"/>
  <c r="BK22" i="2"/>
  <c r="BJ22" i="2"/>
  <c r="BO22" i="2" s="1"/>
  <c r="BI22" i="2"/>
  <c r="BH22" i="2"/>
  <c r="BG22" i="2"/>
  <c r="BF22" i="2"/>
  <c r="BN22" i="2" s="1"/>
  <c r="BP22" i="2" s="1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BM21" i="2"/>
  <c r="BL21" i="2"/>
  <c r="BK21" i="2"/>
  <c r="BJ21" i="2"/>
  <c r="BO21" i="2" s="1"/>
  <c r="BI21" i="2"/>
  <c r="BH21" i="2"/>
  <c r="BG21" i="2"/>
  <c r="BN21" i="2" s="1"/>
  <c r="BP21" i="2" s="1"/>
  <c r="BF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BM20" i="2"/>
  <c r="BL20" i="2"/>
  <c r="BK20" i="2"/>
  <c r="BJ20" i="2"/>
  <c r="BO20" i="2" s="1"/>
  <c r="BQ20" i="2" s="1"/>
  <c r="BS20" i="2" s="1"/>
  <c r="BI20" i="2"/>
  <c r="BH20" i="2"/>
  <c r="BG20" i="2"/>
  <c r="BF20" i="2"/>
  <c r="BN20" i="2" s="1"/>
  <c r="BP20" i="2" s="1"/>
  <c r="BR20" i="2" s="1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BM19" i="2"/>
  <c r="BL19" i="2"/>
  <c r="BK19" i="2"/>
  <c r="BJ19" i="2"/>
  <c r="BO19" i="2" s="1"/>
  <c r="BI19" i="2"/>
  <c r="BH19" i="2"/>
  <c r="BG19" i="2"/>
  <c r="BN19" i="2" s="1"/>
  <c r="BP19" i="2" s="1"/>
  <c r="BF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BM18" i="2"/>
  <c r="BL18" i="2"/>
  <c r="BK18" i="2"/>
  <c r="BJ18" i="2"/>
  <c r="BI18" i="2"/>
  <c r="BO18" i="2" s="1"/>
  <c r="BH18" i="2"/>
  <c r="BG18" i="2"/>
  <c r="BN18" i="2"/>
  <c r="BP18" i="2" s="1"/>
  <c r="BR18" i="2" s="1"/>
  <c r="BF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BM17" i="2"/>
  <c r="BL17" i="2"/>
  <c r="BK17" i="2"/>
  <c r="BJ17" i="2"/>
  <c r="BO17" i="2" s="1"/>
  <c r="BI17" i="2"/>
  <c r="BH17" i="2"/>
  <c r="BG17" i="2"/>
  <c r="BN17" i="2" s="1"/>
  <c r="BF17" i="2"/>
  <c r="AR17" i="2"/>
  <c r="AQ17" i="2"/>
  <c r="AP17" i="2"/>
  <c r="AO17" i="2"/>
  <c r="AN17" i="2"/>
  <c r="H17" i="2"/>
  <c r="BC17" i="2"/>
  <c r="BM16" i="2"/>
  <c r="BL16" i="2"/>
  <c r="BK16" i="2"/>
  <c r="BJ16" i="2"/>
  <c r="BI16" i="2"/>
  <c r="BO16" i="2"/>
  <c r="BH16" i="2"/>
  <c r="BG16" i="2"/>
  <c r="BF16" i="2"/>
  <c r="BN16" i="2"/>
  <c r="BP16" i="2" s="1"/>
  <c r="AR16" i="2"/>
  <c r="AQ16" i="2"/>
  <c r="AP16" i="2"/>
  <c r="AO16" i="2"/>
  <c r="AN16" i="2"/>
  <c r="H16" i="2"/>
  <c r="AZ16" i="2" s="1"/>
  <c r="BM15" i="2"/>
  <c r="BL15" i="2"/>
  <c r="BK15" i="2"/>
  <c r="BJ15" i="2"/>
  <c r="BO15" i="2" s="1"/>
  <c r="BI15" i="2"/>
  <c r="BH15" i="2"/>
  <c r="BG15" i="2"/>
  <c r="BN15" i="2"/>
  <c r="BP15" i="2" s="1"/>
  <c r="BR15" i="2" s="1"/>
  <c r="BF15" i="2"/>
  <c r="AR15" i="2"/>
  <c r="AQ15" i="2"/>
  <c r="AP15" i="2"/>
  <c r="AO15" i="2"/>
  <c r="AN15" i="2"/>
  <c r="H15" i="2"/>
  <c r="BM14" i="2"/>
  <c r="BL14" i="2"/>
  <c r="BK14" i="2"/>
  <c r="BJ14" i="2"/>
  <c r="BI14" i="2"/>
  <c r="BO14" i="2" s="1"/>
  <c r="BH14" i="2"/>
  <c r="BG14" i="2"/>
  <c r="BF14" i="2"/>
  <c r="BN14" i="2" s="1"/>
  <c r="BP14" i="2" s="1"/>
  <c r="BR14" i="2" s="1"/>
  <c r="AR14" i="2"/>
  <c r="AQ14" i="2"/>
  <c r="AP14" i="2"/>
  <c r="AO14" i="2"/>
  <c r="AN14" i="2"/>
  <c r="H14" i="2"/>
  <c r="AX14" i="2"/>
  <c r="BM13" i="2"/>
  <c r="BL13" i="2"/>
  <c r="BK13" i="2"/>
  <c r="BJ13" i="2"/>
  <c r="BO13" i="2" s="1"/>
  <c r="BI13" i="2"/>
  <c r="BH13" i="2"/>
  <c r="BG13" i="2"/>
  <c r="BN13" i="2" s="1"/>
  <c r="BP13" i="2" s="1"/>
  <c r="BR13" i="2" s="1"/>
  <c r="BF13" i="2"/>
  <c r="AR13" i="2"/>
  <c r="AQ13" i="2"/>
  <c r="AP13" i="2"/>
  <c r="AO13" i="2"/>
  <c r="AN13" i="2"/>
  <c r="H13" i="2"/>
  <c r="AU13" i="2" s="1"/>
  <c r="BM12" i="2"/>
  <c r="BL12" i="2"/>
  <c r="BK12" i="2"/>
  <c r="BJ12" i="2"/>
  <c r="BO12" i="2"/>
  <c r="BI12" i="2"/>
  <c r="BH12" i="2"/>
  <c r="BG12" i="2"/>
  <c r="BN12" i="2"/>
  <c r="BP12" i="2" s="1"/>
  <c r="BR12" i="2" s="1"/>
  <c r="BF12" i="2"/>
  <c r="AR12" i="2"/>
  <c r="AQ12" i="2"/>
  <c r="AP12" i="2"/>
  <c r="AO12" i="2"/>
  <c r="AN12" i="2"/>
  <c r="H12" i="2"/>
  <c r="BD12" i="2"/>
  <c r="BM11" i="2"/>
  <c r="BL11" i="2"/>
  <c r="BK11" i="2"/>
  <c r="BJ11" i="2"/>
  <c r="BI11" i="2"/>
  <c r="BO11" i="2"/>
  <c r="BH11" i="2"/>
  <c r="BG11" i="2"/>
  <c r="BF11" i="2"/>
  <c r="BN11" i="2"/>
  <c r="BP11" i="2" s="1"/>
  <c r="BR11" i="2" s="1"/>
  <c r="AR11" i="2"/>
  <c r="AQ11" i="2"/>
  <c r="AP11" i="2"/>
  <c r="AO11" i="2"/>
  <c r="AN11" i="2"/>
  <c r="H11" i="2"/>
  <c r="AX11" i="2" s="1"/>
  <c r="AS4" i="2"/>
  <c r="AR4" i="2"/>
  <c r="AO4" i="2"/>
  <c r="AO3" i="2"/>
  <c r="BP22" i="23"/>
  <c r="BR22" i="23" s="1"/>
  <c r="AY11" i="2"/>
  <c r="AS12" i="2"/>
  <c r="BA12" i="2"/>
  <c r="AS14" i="2"/>
  <c r="AU14" i="2"/>
  <c r="BA14" i="2"/>
  <c r="AU15" i="2"/>
  <c r="BC15" i="2"/>
  <c r="BD16" i="2"/>
  <c r="AX16" i="2"/>
  <c r="AS16" i="2"/>
  <c r="BA16" i="2"/>
  <c r="AU17" i="2"/>
  <c r="AY17" i="2"/>
  <c r="BD17" i="2"/>
  <c r="BB17" i="2"/>
  <c r="AZ17" i="2"/>
  <c r="AX17" i="2"/>
  <c r="AV17" i="2"/>
  <c r="AT17" i="2"/>
  <c r="AS17" i="2"/>
  <c r="AW17" i="2"/>
  <c r="BA17" i="2"/>
  <c r="CA17" i="27"/>
  <c r="BY130" i="33" s="1"/>
  <c r="BZ130" i="33" s="1"/>
  <c r="CA11" i="12"/>
  <c r="CB11" i="12" s="1"/>
  <c r="CA15" i="8"/>
  <c r="BY114" i="33" s="1"/>
  <c r="BZ114" i="33" s="1"/>
  <c r="CA17" i="6"/>
  <c r="BY109" i="33" s="1"/>
  <c r="BZ109" i="33" s="1"/>
  <c r="CA11" i="20"/>
  <c r="CB11" i="20" s="1"/>
  <c r="CA13" i="24"/>
  <c r="BY91" i="33" s="1"/>
  <c r="BZ91" i="33" s="1"/>
  <c r="CA9" i="22"/>
  <c r="CB9" i="22" s="1"/>
  <c r="CA9" i="19"/>
  <c r="CB9" i="19" s="1"/>
  <c r="CA19" i="8"/>
  <c r="CB19" i="8" s="1"/>
  <c r="CA7" i="20"/>
  <c r="CB7" i="20" s="1"/>
  <c r="CA7" i="4"/>
  <c r="CB7" i="4" s="1"/>
  <c r="CA15" i="4"/>
  <c r="BY72" i="33" s="1"/>
  <c r="BZ72" i="33" s="1"/>
  <c r="CA15" i="22"/>
  <c r="BY79" i="33" s="1"/>
  <c r="BZ79" i="33" s="1"/>
  <c r="CA9" i="4"/>
  <c r="CB9" i="4" s="1"/>
  <c r="CA17" i="4"/>
  <c r="BY74" i="33" s="1"/>
  <c r="BZ74" i="33" s="1"/>
  <c r="CA11" i="4"/>
  <c r="CB11" i="4" s="1"/>
  <c r="CA19" i="4"/>
  <c r="CB19" i="4" s="1"/>
  <c r="CA10" i="3"/>
  <c r="CB10" i="3" s="1"/>
  <c r="CA18" i="3"/>
  <c r="BY68" i="33" s="1"/>
  <c r="BZ68" i="33" s="1"/>
  <c r="CA12" i="1"/>
  <c r="BY55" i="33" s="1"/>
  <c r="BZ55" i="33" s="1"/>
  <c r="CA12" i="3"/>
  <c r="BY62" i="33" s="1"/>
  <c r="BZ62" i="33" s="1"/>
  <c r="CA20" i="3"/>
  <c r="CB20" i="3" s="1"/>
  <c r="CA8" i="4"/>
  <c r="CB8" i="4" s="1"/>
  <c r="CA10" i="4"/>
  <c r="CB10" i="4" s="1"/>
  <c r="CA12" i="4"/>
  <c r="BY69" i="33" s="1"/>
  <c r="BZ69" i="33" s="1"/>
  <c r="CA14" i="4"/>
  <c r="BY71" i="33" s="1"/>
  <c r="BZ71" i="33" s="1"/>
  <c r="CA16" i="4"/>
  <c r="BY73" i="33" s="1"/>
  <c r="BZ73" i="33" s="1"/>
  <c r="CA18" i="4"/>
  <c r="BY75" i="33" s="1"/>
  <c r="BZ75" i="33" s="1"/>
  <c r="CA20" i="4"/>
  <c r="CB20" i="4" s="1"/>
  <c r="CA14" i="3"/>
  <c r="BY64" i="33" s="1"/>
  <c r="BZ64" i="33" s="1"/>
  <c r="CA8" i="1"/>
  <c r="CB8" i="1" s="1"/>
  <c r="CA16" i="1"/>
  <c r="BY59" i="33" s="1"/>
  <c r="BZ59" i="33" s="1"/>
  <c r="CA15" i="12"/>
  <c r="CB15" i="12" s="1"/>
  <c r="CA17" i="12"/>
  <c r="BY53" i="33" s="1"/>
  <c r="BZ53" i="33" s="1"/>
  <c r="AV15" i="2"/>
  <c r="BD15" i="2"/>
  <c r="BB15" i="2"/>
  <c r="AT15" i="2"/>
  <c r="AZ15" i="2"/>
  <c r="BB16" i="2"/>
  <c r="BA15" i="2"/>
  <c r="AS15" i="2"/>
  <c r="AY12" i="2"/>
  <c r="BA11" i="2"/>
  <c r="AT11" i="2"/>
  <c r="AZ12" i="2"/>
  <c r="BO30" i="2"/>
  <c r="BO38" i="2"/>
  <c r="AX12" i="2"/>
  <c r="AX13" i="2"/>
  <c r="AX15" i="11"/>
  <c r="BD15" i="11"/>
  <c r="BB15" i="11"/>
  <c r="AZ15" i="11"/>
  <c r="AS15" i="11"/>
  <c r="AY15" i="2"/>
  <c r="AW12" i="2"/>
  <c r="BD11" i="2"/>
  <c r="AT12" i="2"/>
  <c r="BB12" i="2"/>
  <c r="AX15" i="2"/>
  <c r="BN30" i="2"/>
  <c r="BP30" i="2" s="1"/>
  <c r="BN38" i="2"/>
  <c r="BD13" i="15"/>
  <c r="AV13" i="15"/>
  <c r="BC13" i="15"/>
  <c r="BB13" i="15"/>
  <c r="AT13" i="15"/>
  <c r="AZ13" i="15"/>
  <c r="AS13" i="15"/>
  <c r="BA13" i="15"/>
  <c r="AX13" i="15"/>
  <c r="AU13" i="15"/>
  <c r="AW13" i="15"/>
  <c r="AW15" i="2"/>
  <c r="AU12" i="2"/>
  <c r="BC12" i="2"/>
  <c r="AV12" i="2"/>
  <c r="AU16" i="2"/>
  <c r="BO36" i="2"/>
  <c r="BQ36" i="2" s="1"/>
  <c r="AT14" i="2"/>
  <c r="BB14" i="2"/>
  <c r="BO15" i="7"/>
  <c r="BN14" i="11"/>
  <c r="BP14" i="11" s="1"/>
  <c r="BR14" i="11" s="1"/>
  <c r="BO18" i="11"/>
  <c r="BD16" i="15"/>
  <c r="AV16" i="15"/>
  <c r="BC16" i="15"/>
  <c r="BB16" i="15"/>
  <c r="AT16" i="15"/>
  <c r="AZ16" i="15"/>
  <c r="BC14" i="2"/>
  <c r="AV14" i="2"/>
  <c r="BD14" i="2"/>
  <c r="BN11" i="7"/>
  <c r="BN15" i="7"/>
  <c r="BP15" i="7" s="1"/>
  <c r="BR15" i="7" s="1"/>
  <c r="BO16" i="7"/>
  <c r="BD11" i="7"/>
  <c r="BA11" i="7"/>
  <c r="AX11" i="7"/>
  <c r="BA12" i="7"/>
  <c r="AX12" i="7"/>
  <c r="BN16" i="7"/>
  <c r="BP16" i="7" s="1"/>
  <c r="BR16" i="7" s="1"/>
  <c r="BO11" i="11"/>
  <c r="BQ11" i="11" s="1"/>
  <c r="BS11" i="11" s="1"/>
  <c r="BO13" i="15"/>
  <c r="BO15" i="15"/>
  <c r="BO31" i="15"/>
  <c r="AY13" i="11"/>
  <c r="AW16" i="11"/>
  <c r="AX14" i="15"/>
  <c r="BO34" i="15"/>
  <c r="BQ34" i="15" s="1"/>
  <c r="AZ14" i="15"/>
  <c r="BN34" i="15"/>
  <c r="BP34" i="15" s="1"/>
  <c r="BR34" i="15" s="1"/>
  <c r="AT14" i="15"/>
  <c r="BO30" i="15"/>
  <c r="BQ30" i="15" s="1"/>
  <c r="BS30" i="15" s="1"/>
  <c r="BO35" i="15"/>
  <c r="BC12" i="18"/>
  <c r="BO12" i="23"/>
  <c r="AT13" i="23"/>
  <c r="BD13" i="23"/>
  <c r="BB14" i="23"/>
  <c r="AT14" i="23"/>
  <c r="AZ14" i="23"/>
  <c r="AV15" i="23"/>
  <c r="BC15" i="23"/>
  <c r="AZ15" i="23"/>
  <c r="BN26" i="23"/>
  <c r="BN35" i="23"/>
  <c r="BO12" i="30"/>
  <c r="AT13" i="30"/>
  <c r="BD13" i="30"/>
  <c r="BB14" i="30"/>
  <c r="AT14" i="30"/>
  <c r="AZ14" i="30"/>
  <c r="AV15" i="30"/>
  <c r="BC15" i="30"/>
  <c r="AZ15" i="30"/>
  <c r="BO18" i="30"/>
  <c r="BN24" i="30"/>
  <c r="BO26" i="30"/>
  <c r="BN14" i="32"/>
  <c r="BB15" i="32"/>
  <c r="AT15" i="32"/>
  <c r="AZ15" i="32"/>
  <c r="AV15" i="32"/>
  <c r="BD15" i="32"/>
  <c r="BO20" i="32"/>
  <c r="BN22" i="32"/>
  <c r="BO28" i="32"/>
  <c r="BQ28" i="32" s="1"/>
  <c r="BN30" i="32"/>
  <c r="BO36" i="32"/>
  <c r="BD11" i="23"/>
  <c r="AV11" i="23"/>
  <c r="BC11" i="23"/>
  <c r="AZ11" i="23"/>
  <c r="BN12" i="23"/>
  <c r="BC13" i="23"/>
  <c r="AV13" i="23"/>
  <c r="BB15" i="23"/>
  <c r="BO21" i="23"/>
  <c r="BN34" i="23"/>
  <c r="BP34" i="23" s="1"/>
  <c r="BD11" i="30"/>
  <c r="AV11" i="30"/>
  <c r="BC11" i="30"/>
  <c r="AZ11" i="30"/>
  <c r="BN12" i="30"/>
  <c r="BP12" i="30" s="1"/>
  <c r="BQ12" i="30" s="1"/>
  <c r="BS12" i="30" s="1"/>
  <c r="BC13" i="30"/>
  <c r="AV13" i="30"/>
  <c r="BO18" i="32"/>
  <c r="BN20" i="32"/>
  <c r="BP20" i="32" s="1"/>
  <c r="BO26" i="32"/>
  <c r="BN28" i="32"/>
  <c r="BP28" i="32"/>
  <c r="BR28" i="32" s="1"/>
  <c r="BO34" i="32"/>
  <c r="BN36" i="32"/>
  <c r="BP36" i="32" s="1"/>
  <c r="BR36" i="32" s="1"/>
  <c r="BB11" i="23"/>
  <c r="AX13" i="23"/>
  <c r="AX13" i="30"/>
  <c r="BO24" i="32"/>
  <c r="BO32" i="32"/>
  <c r="BP32" i="32" s="1"/>
  <c r="BR32" i="32" s="1"/>
  <c r="AT11" i="23"/>
  <c r="BB13" i="23"/>
  <c r="BC14" i="23"/>
  <c r="AX14" i="23"/>
  <c r="AX15" i="23"/>
  <c r="AX16" i="23"/>
  <c r="BD17" i="23"/>
  <c r="AV17" i="23"/>
  <c r="BC17" i="23"/>
  <c r="AZ17" i="23"/>
  <c r="BN18" i="23"/>
  <c r="BN27" i="23"/>
  <c r="BO37" i="23"/>
  <c r="AT11" i="30"/>
  <c r="BB13" i="30"/>
  <c r="BC14" i="30"/>
  <c r="AX14" i="30"/>
  <c r="AX15" i="30"/>
  <c r="AX16" i="30"/>
  <c r="BN22" i="30"/>
  <c r="BP22" i="30" s="1"/>
  <c r="BR22" i="30" s="1"/>
  <c r="BO24" i="30"/>
  <c r="BN38" i="30"/>
  <c r="BP38" i="30" s="1"/>
  <c r="BR38" i="30" s="1"/>
  <c r="BB11" i="32"/>
  <c r="AT11" i="32"/>
  <c r="AZ11" i="32"/>
  <c r="BD11" i="32"/>
  <c r="AV11" i="32"/>
  <c r="BC11" i="32"/>
  <c r="AU16" i="32"/>
  <c r="AY16" i="32"/>
  <c r="BO22" i="32"/>
  <c r="AT17" i="30"/>
  <c r="BB17" i="30"/>
  <c r="AT12" i="32"/>
  <c r="BB12" i="32"/>
  <c r="AZ13" i="32"/>
  <c r="BC13" i="32"/>
  <c r="AV13" i="32"/>
  <c r="BD13" i="32"/>
  <c r="BP22" i="32"/>
  <c r="BR22" i="32" s="1"/>
  <c r="BP24" i="30"/>
  <c r="BR24" i="30" s="1"/>
  <c r="BP18" i="32"/>
  <c r="BR18" i="32" s="1"/>
  <c r="BP30" i="32"/>
  <c r="BR30" i="32" s="1"/>
  <c r="BQ22" i="32"/>
  <c r="BS22" i="32" s="1"/>
  <c r="BP11" i="20"/>
  <c r="BP12" i="20"/>
  <c r="BP20" i="20"/>
  <c r="BO14" i="20"/>
  <c r="BM99" i="33" s="1"/>
  <c r="BO18" i="20"/>
  <c r="BM103" i="33" s="1"/>
  <c r="BP7" i="27"/>
  <c r="BP11" i="27"/>
  <c r="BP15" i="27"/>
  <c r="BP19" i="27"/>
  <c r="CE22" i="4"/>
  <c r="M25" i="35"/>
  <c r="M6" i="35"/>
  <c r="M21" i="35"/>
  <c r="BY54" i="33"/>
  <c r="BZ54" i="33" s="1"/>
  <c r="BY49" i="33"/>
  <c r="BZ49" i="33" s="1"/>
  <c r="BY39" i="33"/>
  <c r="BZ39" i="33" s="1"/>
  <c r="K21" i="21"/>
  <c r="I24" i="35" s="1"/>
  <c r="H21" i="21"/>
  <c r="F24" i="35" s="1"/>
  <c r="L21" i="21"/>
  <c r="J24" i="35" s="1"/>
  <c r="H22" i="21"/>
  <c r="F24" i="34" s="1"/>
  <c r="L22" i="21"/>
  <c r="J24" i="34" s="1"/>
  <c r="AY22" i="21"/>
  <c r="AW24" i="34" s="1"/>
  <c r="CA15" i="21"/>
  <c r="BY184" i="33" s="1"/>
  <c r="BZ184" i="33" s="1"/>
  <c r="BT17" i="21"/>
  <c r="CA17" i="21" s="1"/>
  <c r="CA18" i="21"/>
  <c r="BY187" i="33" s="1"/>
  <c r="BZ187" i="33" s="1"/>
  <c r="CB18" i="21"/>
  <c r="E21" i="21"/>
  <c r="C24" i="35" s="1"/>
  <c r="C24" i="33"/>
  <c r="BD24" i="33" s="1"/>
  <c r="E22" i="21"/>
  <c r="C24" i="34"/>
  <c r="X21" i="9"/>
  <c r="V25" i="33"/>
  <c r="AN21" i="9"/>
  <c r="AL25" i="33"/>
  <c r="AR21" i="9"/>
  <c r="AP25" i="33"/>
  <c r="R22" i="9"/>
  <c r="P25" i="34"/>
  <c r="Z22" i="9"/>
  <c r="X25" i="34"/>
  <c r="AL22" i="9"/>
  <c r="AJ25" i="34"/>
  <c r="BL13" i="9"/>
  <c r="AY22" i="9"/>
  <c r="AW25" i="34" s="1"/>
  <c r="AR22" i="9"/>
  <c r="AP25" i="34" s="1"/>
  <c r="BO18" i="9"/>
  <c r="BM194" i="33" s="1"/>
  <c r="CA16" i="21"/>
  <c r="BY185" i="33" s="1"/>
  <c r="BZ185" i="33" s="1"/>
  <c r="CB16" i="21"/>
  <c r="CA11" i="21"/>
  <c r="CB11" i="21"/>
  <c r="CA10" i="21"/>
  <c r="CB10" i="21"/>
  <c r="CA7" i="21"/>
  <c r="CB7" i="21"/>
  <c r="BO16" i="21"/>
  <c r="BM185" i="33" s="1"/>
  <c r="CA14" i="21"/>
  <c r="BY183" i="33" s="1"/>
  <c r="BZ183" i="33" s="1"/>
  <c r="CA12" i="21"/>
  <c r="BY181" i="33" s="1"/>
  <c r="BZ181" i="33" s="1"/>
  <c r="CA20" i="21"/>
  <c r="CB20" i="21" s="1"/>
  <c r="CA8" i="21"/>
  <c r="CB8" i="21" s="1"/>
  <c r="CA9" i="21"/>
  <c r="CB9" i="21" s="1"/>
  <c r="BO12" i="21"/>
  <c r="BM181" i="33" s="1"/>
  <c r="CA17" i="9"/>
  <c r="BY193" i="33" s="1"/>
  <c r="BZ193" i="33" s="1"/>
  <c r="CB17" i="9"/>
  <c r="S22" i="16"/>
  <c r="Q23" i="34"/>
  <c r="N21" i="16"/>
  <c r="L23" i="33"/>
  <c r="BU23" i="33" s="1"/>
  <c r="S21" i="16"/>
  <c r="Q23" i="33"/>
  <c r="BX23" i="33" s="1"/>
  <c r="AS21" i="16"/>
  <c r="AQ23" i="33"/>
  <c r="AN22" i="16"/>
  <c r="AL23" i="34"/>
  <c r="AS22" i="16"/>
  <c r="AQ23" i="34"/>
  <c r="E21" i="16"/>
  <c r="C23" i="35" s="1"/>
  <c r="C23" i="33"/>
  <c r="BD23" i="33" s="1"/>
  <c r="CA9" i="9"/>
  <c r="CB9" i="9"/>
  <c r="CA13" i="9"/>
  <c r="BY189" i="33" s="1"/>
  <c r="BZ189" i="33" s="1"/>
  <c r="CB13" i="9"/>
  <c r="BN7" i="9"/>
  <c r="BN11" i="9"/>
  <c r="BN15" i="9"/>
  <c r="BL191" i="33" s="1"/>
  <c r="BN19" i="9"/>
  <c r="CA8" i="9"/>
  <c r="CB8" i="9"/>
  <c r="CA16" i="9"/>
  <c r="BY192" i="33" s="1"/>
  <c r="BZ192" i="33" s="1"/>
  <c r="CB16" i="9"/>
  <c r="CA10" i="9"/>
  <c r="CB10" i="9"/>
  <c r="BO14" i="9"/>
  <c r="BM190" i="33" s="1"/>
  <c r="CA18" i="9"/>
  <c r="BY194" i="33" s="1"/>
  <c r="BZ194" i="33" s="1"/>
  <c r="CA12" i="9"/>
  <c r="BY188" i="33" s="1"/>
  <c r="BZ188" i="33" s="1"/>
  <c r="CA20" i="9"/>
  <c r="CB20" i="9" s="1"/>
  <c r="CA7" i="9"/>
  <c r="CB7" i="9" s="1"/>
  <c r="BO10" i="9"/>
  <c r="CA14" i="9"/>
  <c r="BY190" i="33" s="1"/>
  <c r="BZ190" i="33" s="1"/>
  <c r="CB14" i="9"/>
  <c r="CA15" i="9"/>
  <c r="BY191" i="33" s="1"/>
  <c r="BZ191" i="33" s="1"/>
  <c r="CB15" i="9"/>
  <c r="AY21" i="16"/>
  <c r="AW23" i="33"/>
  <c r="E22" i="16"/>
  <c r="C23" i="34"/>
  <c r="Q22" i="16"/>
  <c r="O23" i="34"/>
  <c r="U22" i="16"/>
  <c r="S23" i="34"/>
  <c r="AK22" i="16"/>
  <c r="AI23" i="34"/>
  <c r="AO22" i="16"/>
  <c r="AM23" i="34"/>
  <c r="BC12" i="16"/>
  <c r="CA16" i="16"/>
  <c r="BY178" i="33" s="1"/>
  <c r="BZ178" i="33" s="1"/>
  <c r="AG22" i="16"/>
  <c r="AE23" i="34" s="1"/>
  <c r="BF12" i="16"/>
  <c r="BN12" i="16" s="1"/>
  <c r="BL174" i="33" s="1"/>
  <c r="BX18" i="16"/>
  <c r="CA18" i="16" s="1"/>
  <c r="CA14" i="16"/>
  <c r="BY176" i="33" s="1"/>
  <c r="BZ176" i="33" s="1"/>
  <c r="CB14" i="16"/>
  <c r="E22" i="17"/>
  <c r="C22" i="34"/>
  <c r="BM16" i="17"/>
  <c r="BD14" i="17"/>
  <c r="AR21" i="17"/>
  <c r="AP22" i="33"/>
  <c r="AG22" i="17"/>
  <c r="AE22" i="34"/>
  <c r="AO22" i="17"/>
  <c r="AM22" i="34"/>
  <c r="BX12" i="17"/>
  <c r="BC15" i="17"/>
  <c r="AY21" i="17"/>
  <c r="AW22" i="33"/>
  <c r="CA12" i="17"/>
  <c r="BY167" i="33" s="1"/>
  <c r="BZ167" i="33" s="1"/>
  <c r="CB12" i="17"/>
  <c r="BO16" i="17"/>
  <c r="BM171" i="33" s="1"/>
  <c r="BC13" i="29"/>
  <c r="S21" i="29"/>
  <c r="Q21" i="33"/>
  <c r="BX21" i="33" s="1"/>
  <c r="CA12" i="29"/>
  <c r="BY160" i="33" s="1"/>
  <c r="BZ160" i="33" s="1"/>
  <c r="CB12" i="29"/>
  <c r="CA15" i="29"/>
  <c r="BY163" i="33" s="1"/>
  <c r="BZ163" i="33" s="1"/>
  <c r="CB15" i="29"/>
  <c r="BO12" i="13"/>
  <c r="BM153" i="33" s="1"/>
  <c r="E21" i="13"/>
  <c r="C20" i="35" s="1"/>
  <c r="M20" i="35" s="1"/>
  <c r="AK21" i="13"/>
  <c r="AI20" i="33" s="1"/>
  <c r="AN21" i="13"/>
  <c r="AL20" i="33" s="1"/>
  <c r="N22" i="13"/>
  <c r="L20" i="34" s="1"/>
  <c r="BO16" i="13"/>
  <c r="BM157" i="33" s="1"/>
  <c r="Q22" i="13"/>
  <c r="O20" i="34"/>
  <c r="CA12" i="13"/>
  <c r="BY153" i="33" s="1"/>
  <c r="BZ153" i="33" s="1"/>
  <c r="CB12" i="13"/>
  <c r="BN16" i="13"/>
  <c r="BL157" i="33" s="1"/>
  <c r="N21" i="13"/>
  <c r="L20" i="33" s="1"/>
  <c r="BU20" i="33" s="1"/>
  <c r="Q21" i="13"/>
  <c r="O20" i="33" s="1"/>
  <c r="BV20" i="33" s="1"/>
  <c r="CA16" i="13"/>
  <c r="BY157" i="33" s="1"/>
  <c r="BZ157" i="33" s="1"/>
  <c r="BN17" i="13"/>
  <c r="BL158" i="33" s="1"/>
  <c r="BN158" i="33" s="1"/>
  <c r="CA17" i="13"/>
  <c r="BY158" i="33" s="1"/>
  <c r="BZ158" i="33" s="1"/>
  <c r="CB17" i="13"/>
  <c r="L21" i="14"/>
  <c r="J19" i="35" s="1"/>
  <c r="J19" i="33"/>
  <c r="BK19" i="33" s="1"/>
  <c r="AO21" i="14"/>
  <c r="AM19" i="33"/>
  <c r="AR22" i="14"/>
  <c r="AP19" i="34"/>
  <c r="BF12" i="14"/>
  <c r="BN12" i="14"/>
  <c r="BL146" i="33" s="1"/>
  <c r="E21" i="14"/>
  <c r="C19" i="35" s="1"/>
  <c r="M19" i="35" s="1"/>
  <c r="C19" i="33"/>
  <c r="BD19" i="33" s="1"/>
  <c r="Q21" i="14"/>
  <c r="O19" i="33"/>
  <c r="BV19" i="33" s="1"/>
  <c r="Q22" i="14"/>
  <c r="O19" i="34"/>
  <c r="R21" i="14"/>
  <c r="P19" i="33"/>
  <c r="AN21" i="14"/>
  <c r="AL19" i="33"/>
  <c r="E22" i="26"/>
  <c r="C18" i="34"/>
  <c r="AK22" i="26"/>
  <c r="AI18" i="34"/>
  <c r="AO22" i="26"/>
  <c r="AM18" i="34"/>
  <c r="E22" i="28"/>
  <c r="C17" i="34"/>
  <c r="AK22" i="28"/>
  <c r="AI17" i="34"/>
  <c r="AO22" i="28"/>
  <c r="AM17" i="34"/>
  <c r="H21" i="19"/>
  <c r="F15" i="35" s="1"/>
  <c r="F15" i="33"/>
  <c r="Q21" i="19"/>
  <c r="O15" i="33"/>
  <c r="BV15" i="33" s="1"/>
  <c r="X21" i="19"/>
  <c r="V15" i="33"/>
  <c r="AB21" i="19"/>
  <c r="Z15" i="33"/>
  <c r="AJ21" i="19"/>
  <c r="AH15" i="33"/>
  <c r="AN21" i="19"/>
  <c r="AL15" i="33"/>
  <c r="H22" i="19"/>
  <c r="F15" i="34"/>
  <c r="AK22" i="19"/>
  <c r="AI15" i="34"/>
  <c r="CA16" i="19"/>
  <c r="BY122" i="33" s="1"/>
  <c r="BZ122" i="33" s="1"/>
  <c r="CB16" i="19"/>
  <c r="AG21" i="19"/>
  <c r="AE15" i="33"/>
  <c r="AO21" i="19"/>
  <c r="AM15" i="33"/>
  <c r="E22" i="19"/>
  <c r="C15" i="34"/>
  <c r="AD22" i="19"/>
  <c r="AB15" i="34"/>
  <c r="AL22" i="19"/>
  <c r="AJ15" i="34"/>
  <c r="BW12" i="19"/>
  <c r="CA12" i="19"/>
  <c r="BY118" i="33" s="1"/>
  <c r="BZ118" i="33" s="1"/>
  <c r="BX18" i="19"/>
  <c r="CA18" i="19" s="1"/>
  <c r="J22" i="19"/>
  <c r="H15" i="34"/>
  <c r="CA14" i="19"/>
  <c r="BY120" i="33" s="1"/>
  <c r="BZ120" i="33" s="1"/>
  <c r="CB14" i="19"/>
  <c r="AK21" i="8"/>
  <c r="AI14" i="33"/>
  <c r="AU22" i="8"/>
  <c r="AS14" i="34"/>
  <c r="BC12" i="8"/>
  <c r="BC14" i="8"/>
  <c r="AT21" i="8"/>
  <c r="AR14" i="33"/>
  <c r="AK21" i="6"/>
  <c r="AI13" i="33"/>
  <c r="AO21" i="6"/>
  <c r="AM13" i="33"/>
  <c r="BC12" i="6"/>
  <c r="AR22" i="6"/>
  <c r="AP13" i="34" s="1"/>
  <c r="X22" i="20"/>
  <c r="V12" i="34" s="1"/>
  <c r="AR22" i="20"/>
  <c r="AP12" i="34" s="1"/>
  <c r="AK21" i="20"/>
  <c r="AI12" i="33" s="1"/>
  <c r="AN21" i="20"/>
  <c r="AL12" i="33" s="1"/>
  <c r="BF13" i="20"/>
  <c r="BN13" i="20" s="1"/>
  <c r="BL98" i="33" s="1"/>
  <c r="BN98" i="33" s="1"/>
  <c r="BD14" i="20"/>
  <c r="BP14" i="20"/>
  <c r="E21" i="20"/>
  <c r="C12" i="35" s="1"/>
  <c r="AI21" i="20"/>
  <c r="AG12" i="33"/>
  <c r="AO21" i="20"/>
  <c r="AM12" i="33"/>
  <c r="Q22" i="20"/>
  <c r="O12" i="34"/>
  <c r="E21" i="24"/>
  <c r="C11" i="35" s="1"/>
  <c r="C11" i="33"/>
  <c r="BD11" i="33" s="1"/>
  <c r="AG21" i="24"/>
  <c r="AE11" i="33"/>
  <c r="AO21" i="24"/>
  <c r="AM11" i="33"/>
  <c r="AR22" i="24"/>
  <c r="AP11" i="34"/>
  <c r="BN15" i="24"/>
  <c r="BL93" i="33" s="1"/>
  <c r="CA15" i="24"/>
  <c r="BY93" i="33" s="1"/>
  <c r="BZ93" i="33" s="1"/>
  <c r="BG17" i="24"/>
  <c r="BN17" i="24" s="1"/>
  <c r="BN12" i="24"/>
  <c r="BL90" i="33" s="1"/>
  <c r="BN90" i="33" s="1"/>
  <c r="CA12" i="24"/>
  <c r="BY90" i="33" s="1"/>
  <c r="BZ90" i="33" s="1"/>
  <c r="BN16" i="24"/>
  <c r="BL94" i="33" s="1"/>
  <c r="CA18" i="24"/>
  <c r="BY96" i="33" s="1"/>
  <c r="BZ96" i="33" s="1"/>
  <c r="CB18" i="24"/>
  <c r="L21" i="25"/>
  <c r="J10" i="35" s="1"/>
  <c r="J10" i="33"/>
  <c r="BK10" i="33" s="1"/>
  <c r="X21" i="25"/>
  <c r="V10" i="33"/>
  <c r="AJ21" i="25"/>
  <c r="AH10" i="33"/>
  <c r="AN21" i="25"/>
  <c r="AL10" i="33"/>
  <c r="AR21" i="25"/>
  <c r="AP10" i="33"/>
  <c r="BA10" i="33" s="1"/>
  <c r="F22" i="25"/>
  <c r="D10" i="34"/>
  <c r="N22" i="25"/>
  <c r="L10" i="34"/>
  <c r="R22" i="25"/>
  <c r="P10" i="34"/>
  <c r="AL22" i="25"/>
  <c r="AJ10" i="34"/>
  <c r="BW12" i="25"/>
  <c r="CA12" i="25"/>
  <c r="BM14" i="25"/>
  <c r="BC14" i="25"/>
  <c r="E21" i="25"/>
  <c r="BG13" i="25"/>
  <c r="BN13" i="25" s="1"/>
  <c r="BL84" i="33" s="1"/>
  <c r="BS13" i="25"/>
  <c r="CA13" i="25" s="1"/>
  <c r="BY84" i="33" s="1"/>
  <c r="BZ84" i="33" s="1"/>
  <c r="CB13" i="25"/>
  <c r="BN14" i="25"/>
  <c r="BL85" i="33" s="1"/>
  <c r="CA17" i="25"/>
  <c r="BN15" i="25"/>
  <c r="BN18" i="25"/>
  <c r="BL89" i="33" s="1"/>
  <c r="BN12" i="22"/>
  <c r="CA12" i="22"/>
  <c r="BY76" i="33" s="1"/>
  <c r="BZ76" i="33" s="1"/>
  <c r="CB12" i="22"/>
  <c r="BN16" i="22"/>
  <c r="BL80" i="33" s="1"/>
  <c r="BN80" i="33" s="1"/>
  <c r="CA16" i="22"/>
  <c r="BC12" i="22"/>
  <c r="E22" i="22"/>
  <c r="C9" i="34"/>
  <c r="BN13" i="22"/>
  <c r="BL77" i="33" s="1"/>
  <c r="CA13" i="22"/>
  <c r="CA17" i="22"/>
  <c r="E21" i="22"/>
  <c r="R21" i="22"/>
  <c r="P9" i="33" s="1"/>
  <c r="AL21" i="22"/>
  <c r="AJ9" i="33" s="1"/>
  <c r="AR22" i="22"/>
  <c r="AP9" i="34" s="1"/>
  <c r="BN14" i="22"/>
  <c r="BL78" i="33" s="1"/>
  <c r="CA18" i="22"/>
  <c r="BY82" i="33" s="1"/>
  <c r="BZ82" i="33" s="1"/>
  <c r="CB18" i="22"/>
  <c r="AN21" i="4"/>
  <c r="AL8" i="33"/>
  <c r="AL22" i="4"/>
  <c r="AJ8" i="34"/>
  <c r="AM21" i="3"/>
  <c r="AK7" i="33"/>
  <c r="AG22" i="3"/>
  <c r="AE7" i="34"/>
  <c r="AK22" i="3"/>
  <c r="AI7" i="34"/>
  <c r="AO22" i="3"/>
  <c r="AM7" i="34"/>
  <c r="CA13" i="3"/>
  <c r="BY63" i="33" s="1"/>
  <c r="BZ63" i="33" s="1"/>
  <c r="CB13" i="3"/>
  <c r="R21" i="1"/>
  <c r="P6" i="33"/>
  <c r="E22" i="1"/>
  <c r="C6" i="34"/>
  <c r="AN22" i="1"/>
  <c r="AL6" i="34"/>
  <c r="BO15" i="12"/>
  <c r="BM51" i="33" s="1"/>
  <c r="F21" i="12"/>
  <c r="N21" i="12"/>
  <c r="L5" i="33" s="1"/>
  <c r="BU5" i="33" s="1"/>
  <c r="BF12" i="12"/>
  <c r="BN12" i="12" s="1"/>
  <c r="BL48" i="33" s="1"/>
  <c r="BG18" i="12"/>
  <c r="BN18" i="12" s="1"/>
  <c r="BL54" i="33" s="1"/>
  <c r="BN54" i="33" s="1"/>
  <c r="BP18" i="12"/>
  <c r="E21" i="12"/>
  <c r="C5" i="35" s="1"/>
  <c r="C5" i="33"/>
  <c r="BD5" i="33" s="1"/>
  <c r="AG21" i="12"/>
  <c r="AE5" i="33"/>
  <c r="CA14" i="12"/>
  <c r="CA12" i="12"/>
  <c r="K21" i="10"/>
  <c r="I4" i="35" s="1"/>
  <c r="I4" i="33"/>
  <c r="BJ4" i="33" s="1"/>
  <c r="AM21" i="10"/>
  <c r="AK4" i="33"/>
  <c r="K22" i="10"/>
  <c r="I4" i="34"/>
  <c r="BO17" i="10"/>
  <c r="BM46" i="33" s="1"/>
  <c r="X21" i="10"/>
  <c r="V4" i="33" s="1"/>
  <c r="AN21" i="10"/>
  <c r="AL4" i="33" s="1"/>
  <c r="BX13" i="10"/>
  <c r="CA13" i="10"/>
  <c r="CA15" i="10"/>
  <c r="CA17" i="10"/>
  <c r="M21" i="10"/>
  <c r="K4" i="33"/>
  <c r="Q21" i="10"/>
  <c r="O4" i="33"/>
  <c r="BV4" i="33" s="1"/>
  <c r="U21" i="10"/>
  <c r="S4" i="33"/>
  <c r="Y21" i="10"/>
  <c r="W4" i="33"/>
  <c r="AO21" i="10"/>
  <c r="AM4" i="33"/>
  <c r="BO13" i="10"/>
  <c r="BM42" i="33" s="1"/>
  <c r="BP13" i="10"/>
  <c r="BN18" i="10"/>
  <c r="BL47" i="33" s="1"/>
  <c r="CA18" i="10"/>
  <c r="AS21" i="5"/>
  <c r="AP3" i="33"/>
  <c r="BA3" i="33" s="1"/>
  <c r="BP16" i="5"/>
  <c r="BM38" i="33" s="1"/>
  <c r="L21" i="5"/>
  <c r="X21" i="5"/>
  <c r="V3" i="33" s="1"/>
  <c r="AN21" i="5"/>
  <c r="AL3" i="33" s="1"/>
  <c r="AR21" i="5"/>
  <c r="AO3" i="33" s="1"/>
  <c r="AZ21" i="5"/>
  <c r="AW3" i="33" s="1"/>
  <c r="AL22" i="5"/>
  <c r="AJ3" i="34" s="1"/>
  <c r="BE17" i="5"/>
  <c r="BD14" i="31"/>
  <c r="AE21" i="31"/>
  <c r="AC2" i="33" s="1"/>
  <c r="AI21" i="31"/>
  <c r="AG2" i="33" s="1"/>
  <c r="AY21" i="31"/>
  <c r="AW2" i="33" s="1"/>
  <c r="AJ21" i="31"/>
  <c r="AH2" i="33" s="1"/>
  <c r="BW14" i="31"/>
  <c r="CA14" i="31" s="1"/>
  <c r="BR22" i="2"/>
  <c r="BQ36" i="32"/>
  <c r="BS36" i="32" s="1"/>
  <c r="BR12" i="30"/>
  <c r="BR16" i="2"/>
  <c r="BR21" i="2"/>
  <c r="BR36" i="2"/>
  <c r="BS36" i="2"/>
  <c r="BQ13" i="7"/>
  <c r="BS13" i="7" s="1"/>
  <c r="BR34" i="23"/>
  <c r="BQ16" i="7"/>
  <c r="BP26" i="2"/>
  <c r="BR26" i="2" s="1"/>
  <c r="BQ22" i="30"/>
  <c r="BR19" i="2"/>
  <c r="BR32" i="2"/>
  <c r="BQ25" i="23"/>
  <c r="BS25" i="23" s="1"/>
  <c r="BQ21" i="23"/>
  <c r="BS21" i="23" s="1"/>
  <c r="BS26" i="15"/>
  <c r="BC13" i="7"/>
  <c r="AX13" i="7"/>
  <c r="BA13" i="7"/>
  <c r="BC14" i="7"/>
  <c r="AT14" i="7"/>
  <c r="BD14" i="7"/>
  <c r="BC15" i="7"/>
  <c r="BA15" i="7"/>
  <c r="AS15" i="7"/>
  <c r="BC11" i="15"/>
  <c r="AT11" i="15"/>
  <c r="BB11" i="15"/>
  <c r="AW11" i="15"/>
  <c r="AV16" i="30"/>
  <c r="AZ16" i="30"/>
  <c r="AW16" i="30"/>
  <c r="AT16" i="30"/>
  <c r="BC16" i="30"/>
  <c r="AY16" i="30"/>
  <c r="BD16" i="30"/>
  <c r="AS16" i="30"/>
  <c r="BA16" i="30"/>
  <c r="BS34" i="15"/>
  <c r="BR30" i="2"/>
  <c r="BR20" i="32"/>
  <c r="BC13" i="2"/>
  <c r="AY14" i="2"/>
  <c r="AY13" i="2"/>
  <c r="BC11" i="2"/>
  <c r="AZ14" i="2"/>
  <c r="AW15" i="7"/>
  <c r="AY13" i="7"/>
  <c r="AX15" i="7"/>
  <c r="AX14" i="7"/>
  <c r="AZ13" i="7"/>
  <c r="BQ14" i="7"/>
  <c r="BS14" i="7" s="1"/>
  <c r="AU11" i="15"/>
  <c r="AX11" i="15"/>
  <c r="BP19" i="11"/>
  <c r="BR19" i="11" s="1"/>
  <c r="BN20" i="11"/>
  <c r="BP20" i="11" s="1"/>
  <c r="BR20" i="11"/>
  <c r="BO26" i="11"/>
  <c r="BP27" i="11"/>
  <c r="BR27" i="11" s="1"/>
  <c r="BN28" i="11"/>
  <c r="BP28" i="11" s="1"/>
  <c r="BR28" i="11"/>
  <c r="BO34" i="11"/>
  <c r="BP35" i="11"/>
  <c r="BN36" i="11"/>
  <c r="BP36" i="11"/>
  <c r="BR36" i="11" s="1"/>
  <c r="BP24" i="15"/>
  <c r="BR24" i="15" s="1"/>
  <c r="BN25" i="15"/>
  <c r="BO36" i="15"/>
  <c r="BP37" i="15"/>
  <c r="BO15" i="18"/>
  <c r="BN21" i="18"/>
  <c r="BN11" i="23"/>
  <c r="BO15" i="23"/>
  <c r="BO17" i="23"/>
  <c r="BO35" i="23"/>
  <c r="BN38" i="23"/>
  <c r="BQ11" i="30"/>
  <c r="BS11" i="30" s="1"/>
  <c r="BQ14" i="30"/>
  <c r="BS14" i="30" s="1"/>
  <c r="BB15" i="30"/>
  <c r="AW15" i="30"/>
  <c r="AT15" i="30"/>
  <c r="AY15" i="30"/>
  <c r="AS15" i="30"/>
  <c r="BA15" i="30"/>
  <c r="BQ21" i="30"/>
  <c r="BS21" i="30" s="1"/>
  <c r="BO34" i="30"/>
  <c r="BQ24" i="30"/>
  <c r="BS24" i="30" s="1"/>
  <c r="BQ13" i="15"/>
  <c r="BS13" i="15" s="1"/>
  <c r="BP38" i="2"/>
  <c r="BR38" i="2" s="1"/>
  <c r="BQ18" i="30"/>
  <c r="BS18" i="30" s="1"/>
  <c r="BQ14" i="32"/>
  <c r="BS14" i="32" s="1"/>
  <c r="BQ35" i="15"/>
  <c r="BS35" i="15" s="1"/>
  <c r="AZ13" i="2"/>
  <c r="BQ23" i="15"/>
  <c r="BS23" i="15" s="1"/>
  <c r="AW14" i="2"/>
  <c r="BQ17" i="7"/>
  <c r="BS17" i="7" s="1"/>
  <c r="AZ14" i="7"/>
  <c r="AW13" i="7"/>
  <c r="AV15" i="7"/>
  <c r="AV14" i="7"/>
  <c r="AV13" i="7"/>
  <c r="AS11" i="15"/>
  <c r="AV11" i="15"/>
  <c r="BR23" i="18"/>
  <c r="BS23" i="18"/>
  <c r="BD17" i="7"/>
  <c r="AT17" i="7"/>
  <c r="BC17" i="7"/>
  <c r="AW17" i="7"/>
  <c r="BO24" i="11"/>
  <c r="BN26" i="11"/>
  <c r="BP26" i="11" s="1"/>
  <c r="BR26" i="11" s="1"/>
  <c r="BS26" i="11" s="1"/>
  <c r="BO32" i="11"/>
  <c r="BN34" i="11"/>
  <c r="BP34" i="11" s="1"/>
  <c r="BR34" i="11"/>
  <c r="BN17" i="15"/>
  <c r="BN21" i="15"/>
  <c r="BN36" i="15"/>
  <c r="BP36" i="15"/>
  <c r="BR36" i="15" s="1"/>
  <c r="BN15" i="18"/>
  <c r="BC16" i="18"/>
  <c r="AX16" i="18"/>
  <c r="AW16" i="18"/>
  <c r="BQ19" i="18"/>
  <c r="BS19" i="18" s="1"/>
  <c r="BP25" i="18"/>
  <c r="BO35" i="18"/>
  <c r="BO14" i="23"/>
  <c r="BP14" i="23" s="1"/>
  <c r="BN20" i="23"/>
  <c r="BN23" i="23"/>
  <c r="BO23" i="23"/>
  <c r="BP23" i="23" s="1"/>
  <c r="BB16" i="30"/>
  <c r="BQ23" i="30"/>
  <c r="BS23" i="30" s="1"/>
  <c r="BO32" i="30"/>
  <c r="BN12" i="32"/>
  <c r="BP12" i="32"/>
  <c r="BR12" i="32" s="1"/>
  <c r="BB13" i="32"/>
  <c r="AX13" i="32"/>
  <c r="AW13" i="32"/>
  <c r="AT13" i="32"/>
  <c r="AY13" i="32"/>
  <c r="AS13" i="32"/>
  <c r="BA13" i="32"/>
  <c r="BR13" i="32"/>
  <c r="BN15" i="32"/>
  <c r="BO17" i="32"/>
  <c r="BN26" i="32"/>
  <c r="BP26" i="32"/>
  <c r="BR26" i="32" s="1"/>
  <c r="BO31" i="32"/>
  <c r="BO37" i="32"/>
  <c r="BA2" i="33"/>
  <c r="BD13" i="2"/>
  <c r="AW14" i="7"/>
  <c r="AS13" i="7"/>
  <c r="AT15" i="7"/>
  <c r="BD13" i="7"/>
  <c r="AT13" i="7"/>
  <c r="BQ22" i="15"/>
  <c r="BS22" i="15" s="1"/>
  <c r="BA11" i="15"/>
  <c r="BD11" i="15"/>
  <c r="BC16" i="7"/>
  <c r="AX16" i="7"/>
  <c r="AW16" i="7"/>
  <c r="BQ22" i="11"/>
  <c r="BS22" i="11" s="1"/>
  <c r="BP32" i="11"/>
  <c r="BR32" i="11" s="1"/>
  <c r="BQ37" i="11"/>
  <c r="BS37" i="11" s="1"/>
  <c r="BP35" i="18"/>
  <c r="BR35" i="18" s="1"/>
  <c r="BO15" i="30"/>
  <c r="BO30" i="30"/>
  <c r="BP30" i="30"/>
  <c r="BR30" i="30" s="1"/>
  <c r="BQ31" i="30"/>
  <c r="BS31" i="30" s="1"/>
  <c r="BP33" i="30"/>
  <c r="BR33" i="30" s="1"/>
  <c r="BN17" i="32"/>
  <c r="BP17" i="32" s="1"/>
  <c r="BR17" i="32"/>
  <c r="AV15" i="15"/>
  <c r="AX17" i="15"/>
  <c r="AV17" i="15"/>
  <c r="BC14" i="18"/>
  <c r="AZ12" i="23"/>
  <c r="AZ16" i="23"/>
  <c r="AV16" i="23"/>
  <c r="BB17" i="23"/>
  <c r="AX12" i="30"/>
  <c r="AV12" i="30"/>
  <c r="AX17" i="30"/>
  <c r="AX12" i="32"/>
  <c r="AZ12" i="32"/>
  <c r="AX14" i="32"/>
  <c r="AV14" i="32"/>
  <c r="AZ15" i="15"/>
  <c r="AZ17" i="15"/>
  <c r="BB12" i="23"/>
  <c r="BB16" i="23"/>
  <c r="AZ12" i="30"/>
  <c r="AZ14" i="32"/>
  <c r="BO19" i="31"/>
  <c r="BC12" i="23"/>
  <c r="AT12" i="23"/>
  <c r="BQ2" i="33"/>
  <c r="BE2" i="33"/>
  <c r="CA18" i="31"/>
  <c r="BY33" i="33" s="1"/>
  <c r="BZ33" i="33" s="1"/>
  <c r="BO15" i="31"/>
  <c r="BM30" i="33" s="1"/>
  <c r="CB13" i="5"/>
  <c r="CC13" i="5" s="1"/>
  <c r="CA17" i="31"/>
  <c r="BY32" i="33" s="1"/>
  <c r="BZ32" i="33" s="1"/>
  <c r="BO11" i="31"/>
  <c r="CA13" i="31"/>
  <c r="BY28" i="33" s="1"/>
  <c r="BZ28" i="33" s="1"/>
  <c r="CA20" i="31"/>
  <c r="CB20" i="31"/>
  <c r="CA16" i="31"/>
  <c r="BY31" i="33" s="1"/>
  <c r="BZ31" i="33" s="1"/>
  <c r="CA12" i="31"/>
  <c r="BY27" i="33" s="1"/>
  <c r="BZ27" i="33" s="1"/>
  <c r="BO20" i="31"/>
  <c r="BP20" i="31" s="1"/>
  <c r="BO16" i="31"/>
  <c r="BM31" i="33" s="1"/>
  <c r="BO12" i="31"/>
  <c r="BM27" i="33" s="1"/>
  <c r="BP12" i="31"/>
  <c r="CA19" i="31"/>
  <c r="CB19" i="31" s="1"/>
  <c r="CA15" i="31"/>
  <c r="BY30" i="33" s="1"/>
  <c r="BZ30" i="33" s="1"/>
  <c r="CA11" i="31"/>
  <c r="CB11" i="31"/>
  <c r="BP8" i="31"/>
  <c r="BQ8" i="5"/>
  <c r="CB8" i="5"/>
  <c r="CC8" i="5" s="1"/>
  <c r="BQ12" i="5"/>
  <c r="CB12" i="5"/>
  <c r="CC12" i="5" s="1"/>
  <c r="BQ16" i="5"/>
  <c r="CB16" i="5"/>
  <c r="CC16" i="5" s="1"/>
  <c r="BQ20" i="5"/>
  <c r="CB20" i="5"/>
  <c r="CC20" i="5" s="1"/>
  <c r="BP17" i="10"/>
  <c r="CA11" i="6"/>
  <c r="CB11" i="6"/>
  <c r="BO7" i="31"/>
  <c r="BN18" i="31"/>
  <c r="BO17" i="31"/>
  <c r="BN14" i="31"/>
  <c r="BL29" i="33" s="1"/>
  <c r="BN29" i="33" s="1"/>
  <c r="BO13" i="31"/>
  <c r="BM28" i="33" s="1"/>
  <c r="BN10" i="31"/>
  <c r="BP10" i="31"/>
  <c r="BO9" i="31"/>
  <c r="BP9" i="31"/>
  <c r="BO7" i="5"/>
  <c r="BQ7" i="5"/>
  <c r="BP10" i="5"/>
  <c r="BO11" i="5"/>
  <c r="BQ11" i="5" s="1"/>
  <c r="BP14" i="5"/>
  <c r="BM36" i="33" s="1"/>
  <c r="BO15" i="5"/>
  <c r="BL37" i="33" s="1"/>
  <c r="BP18" i="5"/>
  <c r="BM40" i="33" s="1"/>
  <c r="BO19" i="5"/>
  <c r="BP9" i="10"/>
  <c r="CA9" i="10"/>
  <c r="CB9" i="10"/>
  <c r="BP12" i="10"/>
  <c r="CA14" i="10"/>
  <c r="BO16" i="10"/>
  <c r="BM45" i="33" s="1"/>
  <c r="BP16" i="10"/>
  <c r="BO20" i="10"/>
  <c r="CA17" i="14"/>
  <c r="CA11" i="26"/>
  <c r="CB11" i="26" s="1"/>
  <c r="CA19" i="26"/>
  <c r="CB19" i="26" s="1"/>
  <c r="CA13" i="28"/>
  <c r="BN7" i="31"/>
  <c r="BP7" i="31" s="1"/>
  <c r="BN19" i="31"/>
  <c r="BO18" i="31"/>
  <c r="BM33" i="33" s="1"/>
  <c r="BP15" i="31"/>
  <c r="BO14" i="31"/>
  <c r="BM29" i="33" s="1"/>
  <c r="BN11" i="31"/>
  <c r="BO10" i="31"/>
  <c r="BP9" i="5"/>
  <c r="BQ9" i="5" s="1"/>
  <c r="BO10" i="5"/>
  <c r="BQ10" i="5" s="1"/>
  <c r="BP13" i="5"/>
  <c r="BO14" i="5"/>
  <c r="BL36" i="33" s="1"/>
  <c r="BP17" i="5"/>
  <c r="BM39" i="33" s="1"/>
  <c r="BQ17" i="5"/>
  <c r="BO18" i="5"/>
  <c r="BL40" i="33" s="1"/>
  <c r="BN40" i="33" s="1"/>
  <c r="BQ18" i="5"/>
  <c r="CA11" i="9"/>
  <c r="CB11" i="9"/>
  <c r="CA19" i="9"/>
  <c r="CB19" i="9"/>
  <c r="CA13" i="21"/>
  <c r="BY182" i="33" s="1"/>
  <c r="BZ182" i="33" s="1"/>
  <c r="CB13" i="21"/>
  <c r="CA7" i="16"/>
  <c r="CB7" i="16"/>
  <c r="CA15" i="16"/>
  <c r="BY177" i="33" s="1"/>
  <c r="BZ177" i="33" s="1"/>
  <c r="CB15" i="16"/>
  <c r="CA9" i="17"/>
  <c r="CB9" i="17"/>
  <c r="CA17" i="17"/>
  <c r="BY172" i="33" s="1"/>
  <c r="BZ172" i="33" s="1"/>
  <c r="CB17" i="17"/>
  <c r="CA11" i="29"/>
  <c r="CB11" i="29"/>
  <c r="CA19" i="29"/>
  <c r="CB19" i="29"/>
  <c r="CA13" i="13"/>
  <c r="BY154" i="33" s="1"/>
  <c r="BZ154" i="33" s="1"/>
  <c r="CB13" i="13"/>
  <c r="CA7" i="14"/>
  <c r="CB7" i="14"/>
  <c r="CA15" i="14"/>
  <c r="BY149" i="33" s="1"/>
  <c r="BZ149" i="33" s="1"/>
  <c r="CB15" i="14"/>
  <c r="CA9" i="26"/>
  <c r="CB9" i="26"/>
  <c r="CA17" i="26"/>
  <c r="BY144" i="33" s="1"/>
  <c r="BZ144" i="33" s="1"/>
  <c r="CB17" i="26"/>
  <c r="CA11" i="28"/>
  <c r="CB11" i="28"/>
  <c r="CA19" i="28"/>
  <c r="CB19" i="28"/>
  <c r="BP12" i="27"/>
  <c r="BO7" i="9"/>
  <c r="BP7" i="9" s="1"/>
  <c r="BN8" i="9"/>
  <c r="BO11" i="9"/>
  <c r="BN12" i="9"/>
  <c r="BL188" i="33" s="1"/>
  <c r="BN188" i="33" s="1"/>
  <c r="BO15" i="9"/>
  <c r="BM191" i="33" s="1"/>
  <c r="BP15" i="9"/>
  <c r="BN16" i="9"/>
  <c r="BL192" i="33" s="1"/>
  <c r="BO19" i="9"/>
  <c r="BN20" i="9"/>
  <c r="BO9" i="21"/>
  <c r="BP9" i="21" s="1"/>
  <c r="BN10" i="21"/>
  <c r="BO13" i="21"/>
  <c r="BM182" i="33" s="1"/>
  <c r="BP13" i="21"/>
  <c r="BN14" i="21"/>
  <c r="BL183" i="33" s="1"/>
  <c r="BO17" i="21"/>
  <c r="BN18" i="21"/>
  <c r="BL187" i="33" s="1"/>
  <c r="BN187" i="33" s="1"/>
  <c r="BO7" i="16"/>
  <c r="BP7" i="16"/>
  <c r="BO11" i="16"/>
  <c r="BP11" i="16" s="1"/>
  <c r="BO15" i="16"/>
  <c r="BM177" i="33" s="1"/>
  <c r="BO19" i="16"/>
  <c r="BP19" i="16" s="1"/>
  <c r="BO9" i="17"/>
  <c r="BP9" i="17" s="1"/>
  <c r="BO13" i="17"/>
  <c r="BO17" i="17"/>
  <c r="BO7" i="29"/>
  <c r="BP7" i="29" s="1"/>
  <c r="BO11" i="29"/>
  <c r="BP11" i="29"/>
  <c r="BN12" i="29"/>
  <c r="BL160" i="33" s="1"/>
  <c r="BO15" i="29"/>
  <c r="BN16" i="29"/>
  <c r="BL164" i="33" s="1"/>
  <c r="BO19" i="29"/>
  <c r="BP19" i="29" s="1"/>
  <c r="BN20" i="29"/>
  <c r="BO13" i="13"/>
  <c r="BM154" i="33" s="1"/>
  <c r="BP13" i="13"/>
  <c r="BO17" i="13"/>
  <c r="BM158" i="33" s="1"/>
  <c r="BP17" i="13"/>
  <c r="BO7" i="14"/>
  <c r="BP7" i="14"/>
  <c r="BO11" i="14"/>
  <c r="BP11" i="14"/>
  <c r="CA20" i="25"/>
  <c r="CB20" i="25"/>
  <c r="CA17" i="1"/>
  <c r="BY60" i="33" s="1"/>
  <c r="BZ60" i="33" s="1"/>
  <c r="CB17" i="1"/>
  <c r="BO15" i="10"/>
  <c r="BM44" i="33" s="1"/>
  <c r="BO19" i="10"/>
  <c r="BP20" i="10"/>
  <c r="BO9" i="9"/>
  <c r="BN10" i="9"/>
  <c r="BO13" i="9"/>
  <c r="BM189" i="33" s="1"/>
  <c r="BN14" i="9"/>
  <c r="BL190" i="33" s="1"/>
  <c r="BN190" i="33" s="1"/>
  <c r="BO17" i="9"/>
  <c r="BM193" i="33" s="1"/>
  <c r="BN18" i="9"/>
  <c r="BL194" i="33" s="1"/>
  <c r="BO7" i="21"/>
  <c r="BN8" i="21"/>
  <c r="BP8" i="21"/>
  <c r="BO11" i="21"/>
  <c r="BN12" i="21"/>
  <c r="BL181" i="33" s="1"/>
  <c r="BN181" i="33" s="1"/>
  <c r="BO15" i="21"/>
  <c r="BM184" i="33" s="1"/>
  <c r="BN16" i="21"/>
  <c r="BO19" i="21"/>
  <c r="BN20" i="21"/>
  <c r="BP20" i="21"/>
  <c r="BO9" i="16"/>
  <c r="BP10" i="16"/>
  <c r="BO13" i="16"/>
  <c r="BM175" i="33" s="1"/>
  <c r="BN14" i="16"/>
  <c r="BO17" i="16"/>
  <c r="BM179" i="33" s="1"/>
  <c r="BO7" i="17"/>
  <c r="BP7" i="17" s="1"/>
  <c r="BP8" i="17"/>
  <c r="BO11" i="17"/>
  <c r="BO15" i="17"/>
  <c r="BM170" i="33" s="1"/>
  <c r="BP16" i="17"/>
  <c r="BO19" i="17"/>
  <c r="BP20" i="17"/>
  <c r="BO9" i="29"/>
  <c r="BN10" i="29"/>
  <c r="BO13" i="29"/>
  <c r="BM161" i="33" s="1"/>
  <c r="BN14" i="29"/>
  <c r="BO17" i="29"/>
  <c r="BM165" i="33" s="1"/>
  <c r="BN18" i="29"/>
  <c r="BL166" i="33" s="1"/>
  <c r="BP8" i="13"/>
  <c r="BO11" i="13"/>
  <c r="BP11" i="13" s="1"/>
  <c r="BP12" i="13"/>
  <c r="BO15" i="13"/>
  <c r="BM156" i="33" s="1"/>
  <c r="BO19" i="13"/>
  <c r="BP19" i="13" s="1"/>
  <c r="BP20" i="13"/>
  <c r="BO9" i="14"/>
  <c r="BP10" i="14"/>
  <c r="BO13" i="14"/>
  <c r="BM147" i="33" s="1"/>
  <c r="BP14" i="14"/>
  <c r="CA20" i="14"/>
  <c r="CB20" i="14" s="1"/>
  <c r="BN7" i="26"/>
  <c r="CA10" i="26"/>
  <c r="CB10" i="26"/>
  <c r="BN11" i="26"/>
  <c r="BN13" i="26"/>
  <c r="BL140" i="33" s="1"/>
  <c r="CA14" i="26"/>
  <c r="BY141" i="33" s="1"/>
  <c r="BZ141" i="33" s="1"/>
  <c r="CB14" i="26"/>
  <c r="BN17" i="26"/>
  <c r="BL144" i="33" s="1"/>
  <c r="CA18" i="26"/>
  <c r="BN7" i="28"/>
  <c r="CA8" i="28"/>
  <c r="CB8" i="28"/>
  <c r="BN9" i="28"/>
  <c r="BN11" i="28"/>
  <c r="CA12" i="28"/>
  <c r="BY132" i="33" s="1"/>
  <c r="BZ132" i="33" s="1"/>
  <c r="CB12" i="28"/>
  <c r="CA16" i="28"/>
  <c r="BY136" i="33" s="1"/>
  <c r="BZ136" i="33" s="1"/>
  <c r="CB16" i="28"/>
  <c r="CA20" i="28"/>
  <c r="CB20" i="28"/>
  <c r="BP8" i="27"/>
  <c r="BN9" i="27"/>
  <c r="BP9" i="27" s="1"/>
  <c r="CA11" i="27"/>
  <c r="CB11" i="27" s="1"/>
  <c r="CA12" i="27"/>
  <c r="BO13" i="27"/>
  <c r="BM126" i="33" s="1"/>
  <c r="BN18" i="27"/>
  <c r="BL131" i="33" s="1"/>
  <c r="BN131" i="33" s="1"/>
  <c r="BP18" i="27"/>
  <c r="CA7" i="19"/>
  <c r="CB7" i="19"/>
  <c r="BO11" i="19"/>
  <c r="BO13" i="19"/>
  <c r="BM119" i="33" s="1"/>
  <c r="BO15" i="19"/>
  <c r="CA19" i="19"/>
  <c r="CB19" i="19" s="1"/>
  <c r="CA9" i="8"/>
  <c r="CB9" i="8" s="1"/>
  <c r="CA13" i="8"/>
  <c r="CA20" i="8"/>
  <c r="CB20" i="8"/>
  <c r="CA14" i="6"/>
  <c r="BY106" i="33" s="1"/>
  <c r="BZ106" i="33" s="1"/>
  <c r="CB14" i="6"/>
  <c r="CA9" i="20"/>
  <c r="CB9" i="20"/>
  <c r="BO10" i="20"/>
  <c r="BP17" i="20"/>
  <c r="BP11" i="10"/>
  <c r="BO14" i="10"/>
  <c r="BM43" i="33" s="1"/>
  <c r="BO18" i="10"/>
  <c r="BP19" i="10"/>
  <c r="BO8" i="9"/>
  <c r="BN9" i="9"/>
  <c r="BP9" i="9" s="1"/>
  <c r="BO12" i="9"/>
  <c r="BM188" i="33" s="1"/>
  <c r="BN13" i="9"/>
  <c r="BL189" i="33" s="1"/>
  <c r="BN189" i="33" s="1"/>
  <c r="BO16" i="9"/>
  <c r="BM192" i="33" s="1"/>
  <c r="BN17" i="9"/>
  <c r="BL193" i="33" s="1"/>
  <c r="BN193" i="33" s="1"/>
  <c r="BO20" i="9"/>
  <c r="BN7" i="21"/>
  <c r="BO10" i="21"/>
  <c r="BN11" i="21"/>
  <c r="BP11" i="21" s="1"/>
  <c r="BO14" i="21"/>
  <c r="BM183" i="33" s="1"/>
  <c r="BN15" i="21"/>
  <c r="BL184" i="33" s="1"/>
  <c r="BN184" i="33" s="1"/>
  <c r="BO18" i="21"/>
  <c r="BM187" i="33" s="1"/>
  <c r="BN19" i="21"/>
  <c r="BP19" i="21" s="1"/>
  <c r="BO8" i="16"/>
  <c r="BP8" i="16"/>
  <c r="BP9" i="16"/>
  <c r="BO12" i="16"/>
  <c r="BM174" i="33" s="1"/>
  <c r="BO16" i="16"/>
  <c r="BO20" i="16"/>
  <c r="BP20" i="16"/>
  <c r="BO10" i="17"/>
  <c r="BP10" i="17" s="1"/>
  <c r="BP11" i="17"/>
  <c r="BO14" i="17"/>
  <c r="BM169" i="33" s="1"/>
  <c r="BO18" i="17"/>
  <c r="BP19" i="17"/>
  <c r="BO8" i="29"/>
  <c r="BP8" i="29"/>
  <c r="BN9" i="29"/>
  <c r="BP9" i="29"/>
  <c r="BO12" i="29"/>
  <c r="BM160" i="33" s="1"/>
  <c r="BN13" i="29"/>
  <c r="BO16" i="29"/>
  <c r="BM164" i="33" s="1"/>
  <c r="BN17" i="29"/>
  <c r="BL165" i="33" s="1"/>
  <c r="BP17" i="29"/>
  <c r="BO20" i="29"/>
  <c r="BP7" i="13"/>
  <c r="BO10" i="13"/>
  <c r="BP10" i="13"/>
  <c r="BO14" i="13"/>
  <c r="BP15" i="13"/>
  <c r="BO18" i="13"/>
  <c r="BM159" i="33" s="1"/>
  <c r="BP18" i="13"/>
  <c r="BP9" i="14"/>
  <c r="BO12" i="14"/>
  <c r="BM146" i="33" s="1"/>
  <c r="BP13" i="14"/>
  <c r="BO16" i="14"/>
  <c r="BM150" i="33" s="1"/>
  <c r="BO18" i="14"/>
  <c r="BM152" i="33" s="1"/>
  <c r="BO20" i="14"/>
  <c r="BO8" i="26"/>
  <c r="BO10" i="26"/>
  <c r="BO12" i="26"/>
  <c r="BM139" i="33" s="1"/>
  <c r="BO14" i="26"/>
  <c r="BM141" i="33" s="1"/>
  <c r="BO16" i="26"/>
  <c r="BM143" i="33" s="1"/>
  <c r="BO18" i="26"/>
  <c r="BM145" i="33" s="1"/>
  <c r="BO20" i="26"/>
  <c r="BO8" i="28"/>
  <c r="BO10" i="28"/>
  <c r="BP10" i="28" s="1"/>
  <c r="BO12" i="28"/>
  <c r="BM132" i="33" s="1"/>
  <c r="BO14" i="28"/>
  <c r="BM134" i="33" s="1"/>
  <c r="BO16" i="28"/>
  <c r="BM136" i="33" s="1"/>
  <c r="BO18" i="28"/>
  <c r="BM138" i="33" s="1"/>
  <c r="BO20" i="28"/>
  <c r="BN13" i="27"/>
  <c r="CA15" i="27"/>
  <c r="CA16" i="27"/>
  <c r="BO17" i="27"/>
  <c r="CA19" i="27"/>
  <c r="CB19" i="27" s="1"/>
  <c r="CA20" i="27"/>
  <c r="CB20" i="27" s="1"/>
  <c r="BO7" i="19"/>
  <c r="BP7" i="19" s="1"/>
  <c r="BO9" i="19"/>
  <c r="BP9" i="19" s="1"/>
  <c r="CA13" i="19"/>
  <c r="BN16" i="8"/>
  <c r="BL115" i="33" s="1"/>
  <c r="CA17" i="8"/>
  <c r="BY116" i="33" s="1"/>
  <c r="BZ116" i="33" s="1"/>
  <c r="CB17" i="8"/>
  <c r="BN18" i="8"/>
  <c r="BL117" i="33" s="1"/>
  <c r="BN117" i="33" s="1"/>
  <c r="CA20" i="6"/>
  <c r="CB20" i="6" s="1"/>
  <c r="CA15" i="20"/>
  <c r="CA8" i="24"/>
  <c r="CB8" i="24" s="1"/>
  <c r="CA10" i="24"/>
  <c r="CB10" i="24" s="1"/>
  <c r="CA14" i="24"/>
  <c r="CA8" i="25"/>
  <c r="CB8" i="25" s="1"/>
  <c r="CA16" i="25"/>
  <c r="BO15" i="14"/>
  <c r="BM149" i="33" s="1"/>
  <c r="BP16" i="14"/>
  <c r="BO19" i="14"/>
  <c r="BP19" i="14"/>
  <c r="BP20" i="14"/>
  <c r="BO9" i="26"/>
  <c r="BP9" i="26" s="1"/>
  <c r="BN10" i="26"/>
  <c r="BP10" i="26" s="1"/>
  <c r="BO13" i="26"/>
  <c r="BM140" i="33" s="1"/>
  <c r="BN14" i="26"/>
  <c r="BL141" i="33" s="1"/>
  <c r="BP14" i="26"/>
  <c r="BO17" i="26"/>
  <c r="BM144" i="33" s="1"/>
  <c r="BN18" i="26"/>
  <c r="BO7" i="28"/>
  <c r="BN8" i="28"/>
  <c r="BP8" i="28" s="1"/>
  <c r="BO11" i="28"/>
  <c r="BP12" i="28"/>
  <c r="BO15" i="28"/>
  <c r="BM135" i="33" s="1"/>
  <c r="BP16" i="28"/>
  <c r="BO19" i="28"/>
  <c r="BP19" i="28"/>
  <c r="BP20" i="28"/>
  <c r="BO8" i="19"/>
  <c r="BP8" i="19" s="1"/>
  <c r="BO10" i="19"/>
  <c r="BP10" i="19"/>
  <c r="BP11" i="19"/>
  <c r="BO14" i="19"/>
  <c r="BO20" i="19"/>
  <c r="BP20" i="19" s="1"/>
  <c r="BN7" i="8"/>
  <c r="BP7" i="8" s="1"/>
  <c r="BO10" i="8"/>
  <c r="BP10" i="8"/>
  <c r="BN11" i="8"/>
  <c r="BP11" i="8" s="1"/>
  <c r="BO14" i="8"/>
  <c r="BM113" i="33" s="1"/>
  <c r="BN15" i="8"/>
  <c r="BO16" i="8"/>
  <c r="BM115" i="33" s="1"/>
  <c r="BN17" i="8"/>
  <c r="BL116" i="33" s="1"/>
  <c r="BN116" i="33" s="1"/>
  <c r="BO8" i="6"/>
  <c r="BN9" i="6"/>
  <c r="BP9" i="6"/>
  <c r="BO12" i="6"/>
  <c r="BM104" i="33" s="1"/>
  <c r="BN13" i="6"/>
  <c r="BL105" i="33" s="1"/>
  <c r="BN105" i="33" s="1"/>
  <c r="BP13" i="6"/>
  <c r="BO16" i="6"/>
  <c r="BM108" i="33" s="1"/>
  <c r="BN17" i="6"/>
  <c r="BO18" i="6"/>
  <c r="BM110" i="33" s="1"/>
  <c r="BN19" i="6"/>
  <c r="BP19" i="6"/>
  <c r="BO19" i="20"/>
  <c r="BP19" i="20"/>
  <c r="BO7" i="24"/>
  <c r="BP7" i="24"/>
  <c r="BP8" i="24"/>
  <c r="BO11" i="24"/>
  <c r="BP11" i="24" s="1"/>
  <c r="BP12" i="24"/>
  <c r="BP14" i="24"/>
  <c r="BO17" i="24"/>
  <c r="BM95" i="33" s="1"/>
  <c r="BO7" i="25"/>
  <c r="BP7" i="25"/>
  <c r="BP8" i="25"/>
  <c r="BO11" i="25"/>
  <c r="BP11" i="25" s="1"/>
  <c r="BP12" i="25"/>
  <c r="BO15" i="25"/>
  <c r="BM86" i="33" s="1"/>
  <c r="BP16" i="25"/>
  <c r="BO19" i="25"/>
  <c r="BP20" i="25"/>
  <c r="BO9" i="22"/>
  <c r="BP9" i="22"/>
  <c r="BO11" i="22"/>
  <c r="BP11" i="22" s="1"/>
  <c r="BP16" i="22"/>
  <c r="BO19" i="22"/>
  <c r="BP19" i="22"/>
  <c r="BP20" i="22"/>
  <c r="BN8" i="4"/>
  <c r="BP8" i="4" s="1"/>
  <c r="BO9" i="4"/>
  <c r="BN18" i="4"/>
  <c r="BL75" i="33" s="1"/>
  <c r="BN75" i="33" s="1"/>
  <c r="BP18" i="4"/>
  <c r="BO8" i="3"/>
  <c r="BP8" i="3"/>
  <c r="BO17" i="3"/>
  <c r="BM67" i="33" s="1"/>
  <c r="BP19" i="3"/>
  <c r="BO8" i="1"/>
  <c r="BP8" i="1" s="1"/>
  <c r="BP10" i="1"/>
  <c r="CA15" i="1"/>
  <c r="BY58" i="33" s="1"/>
  <c r="BZ58" i="33" s="1"/>
  <c r="CB15" i="1"/>
  <c r="CA10" i="12"/>
  <c r="CB10" i="12"/>
  <c r="BO7" i="6"/>
  <c r="BN8" i="6"/>
  <c r="BO11" i="6"/>
  <c r="BN12" i="6"/>
  <c r="BL104" i="33" s="1"/>
  <c r="BN104" i="33" s="1"/>
  <c r="BO15" i="6"/>
  <c r="BM107" i="33" s="1"/>
  <c r="BN16" i="6"/>
  <c r="BL108" i="33" s="1"/>
  <c r="BN18" i="6"/>
  <c r="BL110" i="33" s="1"/>
  <c r="BN110" i="33" s="1"/>
  <c r="BP9" i="20"/>
  <c r="BN10" i="20"/>
  <c r="BP13" i="20"/>
  <c r="BO10" i="24"/>
  <c r="BP10" i="24"/>
  <c r="BO16" i="24"/>
  <c r="BM94" i="33" s="1"/>
  <c r="BO20" i="24"/>
  <c r="BP20" i="24" s="1"/>
  <c r="BO10" i="25"/>
  <c r="BO14" i="25"/>
  <c r="BM85" i="33" s="1"/>
  <c r="BO18" i="25"/>
  <c r="BM89" i="33" s="1"/>
  <c r="BP19" i="25"/>
  <c r="BO8" i="22"/>
  <c r="BO10" i="22"/>
  <c r="BP10" i="22" s="1"/>
  <c r="BO14" i="22"/>
  <c r="BM78" i="33" s="1"/>
  <c r="BP14" i="22"/>
  <c r="BO18" i="22"/>
  <c r="BM82" i="33" s="1"/>
  <c r="BN9" i="4"/>
  <c r="BP9" i="4" s="1"/>
  <c r="BO10" i="4"/>
  <c r="BN13" i="4"/>
  <c r="BL70" i="33" s="1"/>
  <c r="BN15" i="4"/>
  <c r="BL72" i="33" s="1"/>
  <c r="BN72" i="33" s="1"/>
  <c r="BO16" i="4"/>
  <c r="BM73" i="33" s="1"/>
  <c r="BN19" i="4"/>
  <c r="BO20" i="4"/>
  <c r="BP17" i="3"/>
  <c r="BO20" i="3"/>
  <c r="BP20" i="3" s="1"/>
  <c r="BO17" i="14"/>
  <c r="BM151" i="33" s="1"/>
  <c r="BO7" i="26"/>
  <c r="BP8" i="26"/>
  <c r="BO11" i="26"/>
  <c r="BP11" i="26" s="1"/>
  <c r="BN12" i="26"/>
  <c r="BO15" i="26"/>
  <c r="BM142" i="33" s="1"/>
  <c r="BP15" i="26"/>
  <c r="BO19" i="26"/>
  <c r="BP19" i="26"/>
  <c r="BP20" i="26"/>
  <c r="BO9" i="28"/>
  <c r="BN10" i="28"/>
  <c r="BO13" i="28"/>
  <c r="BO17" i="28"/>
  <c r="BM137" i="33" s="1"/>
  <c r="BP18" i="28"/>
  <c r="BO12" i="19"/>
  <c r="BP13" i="19"/>
  <c r="BO16" i="19"/>
  <c r="BM122" i="33" s="1"/>
  <c r="BP16" i="19"/>
  <c r="BO18" i="19"/>
  <c r="BM124" i="33" s="1"/>
  <c r="BP18" i="19"/>
  <c r="BP19" i="19"/>
  <c r="BO8" i="8"/>
  <c r="BP8" i="8"/>
  <c r="BN9" i="8"/>
  <c r="BP9" i="8" s="1"/>
  <c r="BO12" i="8"/>
  <c r="BM111" i="33" s="1"/>
  <c r="BP12" i="8"/>
  <c r="BN13" i="8"/>
  <c r="BL112" i="33" s="1"/>
  <c r="BN112" i="33" s="1"/>
  <c r="BO18" i="8"/>
  <c r="BM117" i="33" s="1"/>
  <c r="BN19" i="8"/>
  <c r="BP19" i="8"/>
  <c r="BO20" i="8"/>
  <c r="BP20" i="8" s="1"/>
  <c r="BN7" i="6"/>
  <c r="BP7" i="6"/>
  <c r="BO10" i="6"/>
  <c r="BP10" i="6" s="1"/>
  <c r="BN11" i="6"/>
  <c r="BO14" i="6"/>
  <c r="BM106" i="33" s="1"/>
  <c r="BP14" i="6"/>
  <c r="BN15" i="6"/>
  <c r="BO20" i="6"/>
  <c r="BP20" i="6" s="1"/>
  <c r="BO15" i="20"/>
  <c r="BO9" i="24"/>
  <c r="BP9" i="24"/>
  <c r="BO13" i="24"/>
  <c r="BO15" i="24"/>
  <c r="BM93" i="33" s="1"/>
  <c r="BP16" i="24"/>
  <c r="BO19" i="24"/>
  <c r="BP19" i="24"/>
  <c r="BO9" i="25"/>
  <c r="BP9" i="25" s="1"/>
  <c r="BP10" i="25"/>
  <c r="BO13" i="25"/>
  <c r="BM84" i="33" s="1"/>
  <c r="BO17" i="25"/>
  <c r="BM88" i="33" s="1"/>
  <c r="BP18" i="25"/>
  <c r="BO7" i="22"/>
  <c r="BP7" i="22" s="1"/>
  <c r="BP8" i="22"/>
  <c r="BO13" i="22"/>
  <c r="BO15" i="22"/>
  <c r="BM79" i="33" s="1"/>
  <c r="BP15" i="22"/>
  <c r="BO17" i="22"/>
  <c r="BO7" i="4"/>
  <c r="BP7" i="4"/>
  <c r="BN10" i="4"/>
  <c r="BP10" i="4"/>
  <c r="BO11" i="4"/>
  <c r="BP11" i="4"/>
  <c r="BN16" i="4"/>
  <c r="BL73" i="33" s="1"/>
  <c r="BO17" i="4"/>
  <c r="BM74" i="33" s="1"/>
  <c r="BN20" i="4"/>
  <c r="BP20" i="4" s="1"/>
  <c r="BO7" i="3"/>
  <c r="BP7" i="3" s="1"/>
  <c r="BO10" i="3"/>
  <c r="BP10" i="3" s="1"/>
  <c r="BO12" i="3"/>
  <c r="BO14" i="3"/>
  <c r="BM64" i="33" s="1"/>
  <c r="BO16" i="3"/>
  <c r="BM66" i="33" s="1"/>
  <c r="BO18" i="3"/>
  <c r="BM68" i="33" s="1"/>
  <c r="BP18" i="3"/>
  <c r="BO7" i="1"/>
  <c r="BP7" i="1"/>
  <c r="CA10" i="1"/>
  <c r="CB10" i="1"/>
  <c r="CA11" i="1"/>
  <c r="CB11" i="1"/>
  <c r="BO19" i="1"/>
  <c r="BP19" i="1"/>
  <c r="CA20" i="1"/>
  <c r="CB20" i="1"/>
  <c r="BO13" i="12"/>
  <c r="BM49" i="33" s="1"/>
  <c r="BP13" i="12"/>
  <c r="BO20" i="1"/>
  <c r="BP20" i="1"/>
  <c r="BO10" i="12"/>
  <c r="BP10" i="12"/>
  <c r="BO12" i="12"/>
  <c r="BM48" i="33" s="1"/>
  <c r="BP12" i="12"/>
  <c r="BO18" i="12"/>
  <c r="BM54" i="33" s="1"/>
  <c r="BP9" i="1"/>
  <c r="BO12" i="1"/>
  <c r="BM55" i="33" s="1"/>
  <c r="BO14" i="1"/>
  <c r="BM57" i="33" s="1"/>
  <c r="BO16" i="1"/>
  <c r="BM59" i="33" s="1"/>
  <c r="BP16" i="1"/>
  <c r="BO18" i="1"/>
  <c r="BM61" i="33" s="1"/>
  <c r="BO8" i="12"/>
  <c r="BP9" i="12"/>
  <c r="BO14" i="12"/>
  <c r="BM50" i="33" s="1"/>
  <c r="BO16" i="12"/>
  <c r="BM52" i="33" s="1"/>
  <c r="BO20" i="12"/>
  <c r="BP20" i="12" s="1"/>
  <c r="BN12" i="4"/>
  <c r="BL69" i="33" s="1"/>
  <c r="BN69" i="33" s="1"/>
  <c r="BO13" i="4"/>
  <c r="BM70" i="33" s="1"/>
  <c r="BN14" i="4"/>
  <c r="BL71" i="33" s="1"/>
  <c r="BN71" i="33" s="1"/>
  <c r="BP14" i="4"/>
  <c r="BO15" i="4"/>
  <c r="BM72" i="33" s="1"/>
  <c r="BO19" i="4"/>
  <c r="BO9" i="3"/>
  <c r="BP9" i="3"/>
  <c r="BO11" i="3"/>
  <c r="BP11" i="3" s="1"/>
  <c r="BO13" i="3"/>
  <c r="BO15" i="3"/>
  <c r="BM65" i="33" s="1"/>
  <c r="BP15" i="3"/>
  <c r="BO11" i="1"/>
  <c r="BP11" i="1" s="1"/>
  <c r="BP12" i="1"/>
  <c r="BO13" i="1"/>
  <c r="BM56" i="33" s="1"/>
  <c r="BO15" i="1"/>
  <c r="BM58" i="33" s="1"/>
  <c r="BO17" i="1"/>
  <c r="BM60" i="33" s="1"/>
  <c r="BP17" i="1"/>
  <c r="BP18" i="1"/>
  <c r="BO7" i="12"/>
  <c r="BP7" i="12" s="1"/>
  <c r="BP8" i="12"/>
  <c r="BO11" i="12"/>
  <c r="BP11" i="12"/>
  <c r="BO17" i="12"/>
  <c r="BM53" i="33" s="1"/>
  <c r="BO19" i="12"/>
  <c r="BP19" i="12" s="1"/>
  <c r="CB12" i="12"/>
  <c r="BY48" i="33"/>
  <c r="BZ48" i="33" s="1"/>
  <c r="CB14" i="12"/>
  <c r="BY50" i="33"/>
  <c r="BZ50" i="33" s="1"/>
  <c r="CB18" i="10"/>
  <c r="BY47" i="33"/>
  <c r="BZ47" i="33" s="1"/>
  <c r="CB17" i="10"/>
  <c r="BY46" i="33"/>
  <c r="BZ46" i="33" s="1"/>
  <c r="CB15" i="10"/>
  <c r="BY44" i="33"/>
  <c r="BZ44" i="33" s="1"/>
  <c r="CB14" i="10"/>
  <c r="BY43" i="33"/>
  <c r="BZ43" i="33" s="1"/>
  <c r="CB13" i="10"/>
  <c r="BY42" i="33"/>
  <c r="BZ42" i="33" s="1"/>
  <c r="BY38" i="33"/>
  <c r="BZ38" i="33" s="1"/>
  <c r="BY35" i="33"/>
  <c r="BZ35" i="33" s="1"/>
  <c r="BY34" i="33"/>
  <c r="BZ34" i="33" s="1"/>
  <c r="CB17" i="31"/>
  <c r="CB15" i="31"/>
  <c r="CB12" i="31"/>
  <c r="CB13" i="31"/>
  <c r="CB16" i="31"/>
  <c r="CB18" i="31"/>
  <c r="BP12" i="21"/>
  <c r="BP18" i="9"/>
  <c r="BP19" i="9"/>
  <c r="BP14" i="9"/>
  <c r="BP15" i="21"/>
  <c r="BP7" i="21"/>
  <c r="BP10" i="9"/>
  <c r="BP12" i="16"/>
  <c r="BP11" i="9"/>
  <c r="BP17" i="9"/>
  <c r="BP13" i="9"/>
  <c r="BP12" i="14"/>
  <c r="BQ14" i="5"/>
  <c r="BP16" i="4"/>
  <c r="BP15" i="4"/>
  <c r="BP8" i="6"/>
  <c r="BP16" i="8"/>
  <c r="BP7" i="28"/>
  <c r="BP15" i="18"/>
  <c r="BR15" i="18"/>
  <c r="BP17" i="15"/>
  <c r="BR17" i="15"/>
  <c r="BQ17" i="15"/>
  <c r="BS17" i="15"/>
  <c r="BR37" i="15"/>
  <c r="BQ37" i="15"/>
  <c r="BQ28" i="11"/>
  <c r="BS28" i="11" s="1"/>
  <c r="BQ19" i="11"/>
  <c r="BS19" i="11" s="1"/>
  <c r="BQ24" i="15"/>
  <c r="BS24" i="15" s="1"/>
  <c r="BS16" i="7"/>
  <c r="BQ22" i="2"/>
  <c r="BS22" i="2"/>
  <c r="BQ30" i="2"/>
  <c r="BS30" i="2"/>
  <c r="BP11" i="6"/>
  <c r="BP13" i="4"/>
  <c r="BP10" i="20"/>
  <c r="BP11" i="28"/>
  <c r="BP20" i="29"/>
  <c r="BP12" i="29"/>
  <c r="BP14" i="21"/>
  <c r="BP20" i="9"/>
  <c r="BP12" i="9"/>
  <c r="BP11" i="31"/>
  <c r="BP19" i="31"/>
  <c r="BP15" i="30"/>
  <c r="BR15" i="30" s="1"/>
  <c r="BP37" i="32"/>
  <c r="BR37" i="32" s="1"/>
  <c r="BQ17" i="32"/>
  <c r="BS17" i="32" s="1"/>
  <c r="BQ33" i="30"/>
  <c r="BS33" i="30" s="1"/>
  <c r="BQ16" i="15"/>
  <c r="BS16" i="15" s="1"/>
  <c r="BR16" i="15"/>
  <c r="BP24" i="11"/>
  <c r="BR24" i="11"/>
  <c r="BQ24" i="11"/>
  <c r="BS24" i="11"/>
  <c r="BQ13" i="32"/>
  <c r="BS13" i="32"/>
  <c r="BP17" i="23"/>
  <c r="BR17" i="23"/>
  <c r="BQ17" i="23"/>
  <c r="BS17" i="23"/>
  <c r="BP21" i="18"/>
  <c r="BR21" i="18"/>
  <c r="BQ36" i="15"/>
  <c r="BS36" i="15"/>
  <c r="BR35" i="11"/>
  <c r="BQ35" i="11"/>
  <c r="BQ26" i="11"/>
  <c r="BS22" i="30"/>
  <c r="BQ26" i="2"/>
  <c r="BS26" i="2" s="1"/>
  <c r="BQ19" i="2"/>
  <c r="BS19" i="2" s="1"/>
  <c r="BQ27" i="11"/>
  <c r="BS27" i="11" s="1"/>
  <c r="BP18" i="8"/>
  <c r="BP9" i="28"/>
  <c r="BP7" i="26"/>
  <c r="BQ30" i="30"/>
  <c r="BS30" i="30" s="1"/>
  <c r="BQ35" i="18"/>
  <c r="BS35" i="18" s="1"/>
  <c r="BP21" i="15"/>
  <c r="BR21" i="15" s="1"/>
  <c r="BQ12" i="32"/>
  <c r="BS12" i="32"/>
  <c r="BP38" i="23"/>
  <c r="BR38" i="23"/>
  <c r="BP15" i="23"/>
  <c r="BQ15" i="23" s="1"/>
  <c r="BS15" i="23" s="1"/>
  <c r="BR15" i="23"/>
  <c r="BQ15" i="18"/>
  <c r="BS15" i="18"/>
  <c r="BP25" i="15"/>
  <c r="BR25" i="15"/>
  <c r="BQ34" i="11"/>
  <c r="BS34" i="11"/>
  <c r="BQ21" i="2"/>
  <c r="BS21" i="2"/>
  <c r="BP17" i="26"/>
  <c r="BP16" i="29"/>
  <c r="BP18" i="21"/>
  <c r="BP10" i="21"/>
  <c r="BP16" i="9"/>
  <c r="BP8" i="9"/>
  <c r="BP14" i="31"/>
  <c r="BP20" i="23"/>
  <c r="BR20" i="23"/>
  <c r="BQ25" i="18"/>
  <c r="BS25" i="18"/>
  <c r="BR25" i="18"/>
  <c r="BQ20" i="15"/>
  <c r="BS20" i="15" s="1"/>
  <c r="BR20" i="15"/>
  <c r="BQ32" i="11"/>
  <c r="BS32" i="11"/>
  <c r="BP35" i="23"/>
  <c r="BR35" i="23"/>
  <c r="BP11" i="23"/>
  <c r="BR11" i="23"/>
  <c r="BS11" i="23" s="1"/>
  <c r="BQ11" i="23"/>
  <c r="BQ20" i="11"/>
  <c r="BS20" i="11"/>
  <c r="BQ26" i="32"/>
  <c r="BS26" i="32"/>
  <c r="BQ16" i="2"/>
  <c r="BS16" i="2" s="1"/>
  <c r="BQ20" i="32"/>
  <c r="BS20" i="32" s="1"/>
  <c r="BQ35" i="23"/>
  <c r="BS35" i="23" s="1"/>
  <c r="BQ25" i="15"/>
  <c r="BS25" i="15" s="1"/>
  <c r="BQ37" i="32"/>
  <c r="BS37" i="15"/>
  <c r="BQ38" i="23"/>
  <c r="BS38" i="23" s="1"/>
  <c r="BQ21" i="18"/>
  <c r="BS21" i="18" s="1"/>
  <c r="BQ20" i="23"/>
  <c r="BS20" i="23" s="1"/>
  <c r="BQ21" i="15"/>
  <c r="BS21" i="15" s="1"/>
  <c r="BS35" i="11"/>
  <c r="BS37" i="32" l="1"/>
  <c r="BY29" i="33"/>
  <c r="BZ29" i="33" s="1"/>
  <c r="CB14" i="31"/>
  <c r="BR14" i="23"/>
  <c r="BQ14" i="23"/>
  <c r="BS14" i="23" s="1"/>
  <c r="BR23" i="23"/>
  <c r="BQ23" i="23"/>
  <c r="BS23" i="23" s="1"/>
  <c r="BP16" i="6"/>
  <c r="BP13" i="25"/>
  <c r="BP14" i="12"/>
  <c r="BP16" i="3"/>
  <c r="BP14" i="3"/>
  <c r="BM81" i="33"/>
  <c r="BP17" i="22"/>
  <c r="BM91" i="33"/>
  <c r="BP13" i="24"/>
  <c r="BM118" i="33"/>
  <c r="BP12" i="19"/>
  <c r="BP14" i="28"/>
  <c r="BP16" i="26"/>
  <c r="BP17" i="14"/>
  <c r="BP18" i="6"/>
  <c r="BP12" i="6"/>
  <c r="BY92" i="33"/>
  <c r="BZ92" i="33" s="1"/>
  <c r="CB14" i="24"/>
  <c r="BN115" i="33"/>
  <c r="BY128" i="33"/>
  <c r="BZ128" i="33" s="1"/>
  <c r="CB15" i="27"/>
  <c r="BM173" i="33"/>
  <c r="BP18" i="17"/>
  <c r="BM178" i="33"/>
  <c r="BP16" i="16"/>
  <c r="BM47" i="33"/>
  <c r="BP18" i="10"/>
  <c r="BM121" i="33"/>
  <c r="BP15" i="19"/>
  <c r="BY125" i="33"/>
  <c r="BZ125" i="33" s="1"/>
  <c r="CB12" i="27"/>
  <c r="BP15" i="28"/>
  <c r="BY145" i="33"/>
  <c r="BZ145" i="33" s="1"/>
  <c r="CB18" i="26"/>
  <c r="BP13" i="26"/>
  <c r="BM163" i="33"/>
  <c r="BP15" i="29"/>
  <c r="BY151" i="33"/>
  <c r="BZ151" i="33" s="1"/>
  <c r="CB17" i="14"/>
  <c r="BY80" i="33"/>
  <c r="BZ80" i="33" s="1"/>
  <c r="CB16" i="22"/>
  <c r="BL76" i="33"/>
  <c r="BN76" i="33" s="1"/>
  <c r="BP12" i="22"/>
  <c r="C10" i="35"/>
  <c r="C10" i="33"/>
  <c r="BD10" i="33" s="1"/>
  <c r="BL95" i="33"/>
  <c r="BN95" i="33" s="1"/>
  <c r="BP17" i="24"/>
  <c r="BN174" i="33"/>
  <c r="BS28" i="32"/>
  <c r="BQ13" i="2"/>
  <c r="BS13" i="2" s="1"/>
  <c r="BP23" i="2"/>
  <c r="BQ27" i="2"/>
  <c r="BS27" i="2" s="1"/>
  <c r="BP31" i="2"/>
  <c r="BR31" i="2" s="1"/>
  <c r="BQ32" i="2"/>
  <c r="BS32" i="2" s="1"/>
  <c r="BQ33" i="2"/>
  <c r="BS33" i="2" s="1"/>
  <c r="BP35" i="2"/>
  <c r="BR35" i="2" s="1"/>
  <c r="BQ37" i="2"/>
  <c r="BS37" i="2" s="1"/>
  <c r="BQ13" i="11"/>
  <c r="BS13" i="11" s="1"/>
  <c r="BQ17" i="11"/>
  <c r="BS17" i="11" s="1"/>
  <c r="BP23" i="11"/>
  <c r="BR23" i="11" s="1"/>
  <c r="BP30" i="11"/>
  <c r="BR30" i="11" s="1"/>
  <c r="BP33" i="11"/>
  <c r="BR33" i="11" s="1"/>
  <c r="BQ11" i="15"/>
  <c r="BR11" i="15"/>
  <c r="BQ14" i="15"/>
  <c r="BS14" i="15" s="1"/>
  <c r="BP27" i="15"/>
  <c r="BR27" i="15" s="1"/>
  <c r="BQ28" i="15"/>
  <c r="BS28" i="15" s="1"/>
  <c r="BP31" i="15"/>
  <c r="BR31" i="15" s="1"/>
  <c r="BP12" i="18"/>
  <c r="BR12" i="18" s="1"/>
  <c r="BP14" i="18"/>
  <c r="BR14" i="18" s="1"/>
  <c r="BP16" i="18"/>
  <c r="BR16" i="18" s="1"/>
  <c r="BQ18" i="18"/>
  <c r="BS18" i="18" s="1"/>
  <c r="BQ28" i="18"/>
  <c r="BS28" i="18" s="1"/>
  <c r="BP30" i="18"/>
  <c r="BR30" i="18" s="1"/>
  <c r="BP34" i="18"/>
  <c r="BR34" i="18" s="1"/>
  <c r="BP37" i="18"/>
  <c r="BR37" i="18" s="1"/>
  <c r="BP38" i="18"/>
  <c r="BQ13" i="23"/>
  <c r="BS13" i="23" s="1"/>
  <c r="BP19" i="23"/>
  <c r="BP24" i="23"/>
  <c r="BR24" i="23" s="1"/>
  <c r="BP29" i="23"/>
  <c r="BP32" i="23"/>
  <c r="BR32" i="23" s="1"/>
  <c r="BQ32" i="23"/>
  <c r="BS32" i="23" s="1"/>
  <c r="BQ16" i="30"/>
  <c r="BS16" i="30" s="1"/>
  <c r="BQ17" i="30"/>
  <c r="BS17" i="30" s="1"/>
  <c r="BP20" i="30"/>
  <c r="BR20" i="30" s="1"/>
  <c r="BQ25" i="30"/>
  <c r="BS25" i="30" s="1"/>
  <c r="BR25" i="30"/>
  <c r="BP28" i="30"/>
  <c r="BR28" i="30" s="1"/>
  <c r="BQ29" i="30"/>
  <c r="BS29" i="30" s="1"/>
  <c r="BQ35" i="30"/>
  <c r="BS35" i="30" s="1"/>
  <c r="BP36" i="30"/>
  <c r="BR36" i="30" s="1"/>
  <c r="BQ36" i="30"/>
  <c r="BS36" i="30" s="1"/>
  <c r="BR38" i="32"/>
  <c r="BQ38" i="32"/>
  <c r="BQ15" i="30"/>
  <c r="BS15" i="30" s="1"/>
  <c r="BM133" i="33"/>
  <c r="BP13" i="28"/>
  <c r="BP19" i="4"/>
  <c r="BL114" i="33"/>
  <c r="BN114" i="33" s="1"/>
  <c r="BP15" i="8"/>
  <c r="BL145" i="33"/>
  <c r="BN145" i="33" s="1"/>
  <c r="BP18" i="26"/>
  <c r="BY119" i="33"/>
  <c r="BZ119" i="33" s="1"/>
  <c r="CB13" i="19"/>
  <c r="BL126" i="33"/>
  <c r="BN126" i="33" s="1"/>
  <c r="BP13" i="27"/>
  <c r="BM155" i="33"/>
  <c r="BP14" i="13"/>
  <c r="BL161" i="33"/>
  <c r="BN161" i="33" s="1"/>
  <c r="BP13" i="29"/>
  <c r="BY112" i="33"/>
  <c r="BZ112" i="33" s="1"/>
  <c r="CB13" i="8"/>
  <c r="BL162" i="33"/>
  <c r="BN162" i="33" s="1"/>
  <c r="BP14" i="29"/>
  <c r="BL185" i="33"/>
  <c r="BN185" i="33" s="1"/>
  <c r="BP16" i="21"/>
  <c r="BM172" i="33"/>
  <c r="BP17" i="17"/>
  <c r="BY133" i="33"/>
  <c r="BZ133" i="33" s="1"/>
  <c r="CB13" i="28"/>
  <c r="BM32" i="33"/>
  <c r="BP17" i="31"/>
  <c r="BQ38" i="2"/>
  <c r="BS38" i="2" s="1"/>
  <c r="D5" i="35"/>
  <c r="D5" i="33"/>
  <c r="BN78" i="33"/>
  <c r="C9" i="35"/>
  <c r="C9" i="33"/>
  <c r="BD9" i="33" s="1"/>
  <c r="BN94" i="33"/>
  <c r="M23" i="35"/>
  <c r="BY186" i="33"/>
  <c r="BZ186" i="33" s="1"/>
  <c r="CB17" i="21"/>
  <c r="BQ12" i="2"/>
  <c r="BS12" i="2" s="1"/>
  <c r="BQ25" i="2"/>
  <c r="BS25" i="2" s="1"/>
  <c r="BP28" i="2"/>
  <c r="BR28" i="2" s="1"/>
  <c r="BR31" i="11"/>
  <c r="BQ31" i="11"/>
  <c r="BS31" i="11" s="1"/>
  <c r="BQ29" i="15"/>
  <c r="BS29" i="15" s="1"/>
  <c r="BQ33" i="15"/>
  <c r="BS33" i="15" s="1"/>
  <c r="BP11" i="18"/>
  <c r="BR11" i="18" s="1"/>
  <c r="BQ11" i="18"/>
  <c r="BS11" i="18" s="1"/>
  <c r="BQ20" i="18"/>
  <c r="BS20" i="18" s="1"/>
  <c r="BR22" i="18"/>
  <c r="BQ22" i="18"/>
  <c r="BS22" i="18" s="1"/>
  <c r="BQ26" i="18"/>
  <c r="BS26" i="18" s="1"/>
  <c r="BP26" i="23"/>
  <c r="BR26" i="23" s="1"/>
  <c r="BP28" i="23"/>
  <c r="BR28" i="23" s="1"/>
  <c r="BQ28" i="23"/>
  <c r="BS28" i="23" s="1"/>
  <c r="BP30" i="23"/>
  <c r="BR30" i="23" s="1"/>
  <c r="BQ30" i="23"/>
  <c r="BS30" i="23" s="1"/>
  <c r="BQ36" i="23"/>
  <c r="BS36" i="23" s="1"/>
  <c r="BP32" i="30"/>
  <c r="BQ16" i="32"/>
  <c r="BS16" i="32" s="1"/>
  <c r="BP17" i="12"/>
  <c r="BP12" i="4"/>
  <c r="BP16" i="12"/>
  <c r="BM62" i="33"/>
  <c r="BP12" i="3"/>
  <c r="BP17" i="4"/>
  <c r="BP14" i="25"/>
  <c r="BP15" i="24"/>
  <c r="BL107" i="33"/>
  <c r="BN107" i="33" s="1"/>
  <c r="BP15" i="6"/>
  <c r="BP13" i="8"/>
  <c r="BL109" i="33"/>
  <c r="BN109" i="33" s="1"/>
  <c r="BP17" i="6"/>
  <c r="BP17" i="8"/>
  <c r="BP14" i="8"/>
  <c r="BM120" i="33"/>
  <c r="BP14" i="19"/>
  <c r="BY87" i="33"/>
  <c r="BZ87" i="33" s="1"/>
  <c r="CB16" i="25"/>
  <c r="BM130" i="33"/>
  <c r="BP17" i="27"/>
  <c r="BL176" i="33"/>
  <c r="BM168" i="33"/>
  <c r="BP13" i="17"/>
  <c r="BM186" i="33"/>
  <c r="BP17" i="21"/>
  <c r="BN36" i="33"/>
  <c r="BL33" i="33"/>
  <c r="BN33" i="33" s="1"/>
  <c r="BP18" i="31"/>
  <c r="BP16" i="31"/>
  <c r="BQ38" i="30"/>
  <c r="BS38" i="30" s="1"/>
  <c r="BQ36" i="11"/>
  <c r="BS36" i="11" s="1"/>
  <c r="BQ15" i="7"/>
  <c r="BS15" i="7" s="1"/>
  <c r="BY81" i="33"/>
  <c r="BZ81" i="33" s="1"/>
  <c r="CB17" i="22"/>
  <c r="BL86" i="33"/>
  <c r="BN86" i="33" s="1"/>
  <c r="BP15" i="25"/>
  <c r="BQ14" i="2"/>
  <c r="BS14" i="2" s="1"/>
  <c r="BQ15" i="2"/>
  <c r="BS15" i="2" s="1"/>
  <c r="BP17" i="2"/>
  <c r="BQ18" i="2"/>
  <c r="BS18" i="2" s="1"/>
  <c r="BP24" i="2"/>
  <c r="BP25" i="2"/>
  <c r="BR25" i="2" s="1"/>
  <c r="BP34" i="2"/>
  <c r="BP11" i="7"/>
  <c r="BR11" i="7" s="1"/>
  <c r="BQ11" i="7"/>
  <c r="BS11" i="7" s="1"/>
  <c r="BQ12" i="11"/>
  <c r="BS12" i="11" s="1"/>
  <c r="BQ14" i="11"/>
  <c r="BS14" i="11" s="1"/>
  <c r="BP15" i="11"/>
  <c r="BQ16" i="11"/>
  <c r="BS16" i="11" s="1"/>
  <c r="BP21" i="11"/>
  <c r="BP29" i="11"/>
  <c r="BR29" i="11" s="1"/>
  <c r="BQ38" i="11"/>
  <c r="BS38" i="11" s="1"/>
  <c r="BQ12" i="15"/>
  <c r="BS12" i="15" s="1"/>
  <c r="BP15" i="15"/>
  <c r="BR15" i="15" s="1"/>
  <c r="BP18" i="15"/>
  <c r="BR18" i="15" s="1"/>
  <c r="BP19" i="15"/>
  <c r="BP29" i="15"/>
  <c r="BR29" i="15" s="1"/>
  <c r="BP32" i="15"/>
  <c r="BR32" i="15" s="1"/>
  <c r="BP33" i="15"/>
  <c r="BR33" i="15" s="1"/>
  <c r="BQ38" i="15"/>
  <c r="BS38" i="15" s="1"/>
  <c r="BP13" i="18"/>
  <c r="BR13" i="18" s="1"/>
  <c r="BQ17" i="18"/>
  <c r="BS17" i="18" s="1"/>
  <c r="BP20" i="18"/>
  <c r="BR20" i="18" s="1"/>
  <c r="BP24" i="18"/>
  <c r="BR24" i="18" s="1"/>
  <c r="BP26" i="18"/>
  <c r="BR26" i="18" s="1"/>
  <c r="BQ27" i="18"/>
  <c r="BS27" i="18" s="1"/>
  <c r="BP29" i="18"/>
  <c r="BR29" i="18" s="1"/>
  <c r="BQ32" i="18"/>
  <c r="BS32" i="18" s="1"/>
  <c r="BQ33" i="18"/>
  <c r="BS33" i="18" s="1"/>
  <c r="BP36" i="18"/>
  <c r="BR36" i="18" s="1"/>
  <c r="BQ31" i="23"/>
  <c r="BS31" i="23" s="1"/>
  <c r="BP33" i="23"/>
  <c r="BR33" i="23" s="1"/>
  <c r="BP13" i="30"/>
  <c r="BQ19" i="30"/>
  <c r="BS19" i="30" s="1"/>
  <c r="BQ27" i="30"/>
  <c r="BS27" i="30" s="1"/>
  <c r="BP34" i="30"/>
  <c r="BP16" i="32"/>
  <c r="BR16" i="32" s="1"/>
  <c r="BB2" i="33"/>
  <c r="BM63" i="33"/>
  <c r="BP13" i="3"/>
  <c r="BM77" i="33"/>
  <c r="BP13" i="22"/>
  <c r="BM100" i="33"/>
  <c r="BP15" i="20"/>
  <c r="BL139" i="33"/>
  <c r="BN139" i="33" s="1"/>
  <c r="BP12" i="26"/>
  <c r="BY100" i="33"/>
  <c r="BZ100" i="33" s="1"/>
  <c r="CB15" i="20"/>
  <c r="BY129" i="33"/>
  <c r="BZ129" i="33" s="1"/>
  <c r="CB16" i="27"/>
  <c r="BM35" i="33"/>
  <c r="BQ13" i="5"/>
  <c r="J3" i="35"/>
  <c r="J3" i="33"/>
  <c r="BK3" i="33" s="1"/>
  <c r="BN48" i="33"/>
  <c r="BY77" i="33"/>
  <c r="BZ77" i="33" s="1"/>
  <c r="CB13" i="22"/>
  <c r="BY88" i="33"/>
  <c r="BZ88" i="33" s="1"/>
  <c r="CB17" i="25"/>
  <c r="BN84" i="33"/>
  <c r="BY83" i="33"/>
  <c r="BZ83" i="33" s="1"/>
  <c r="CB12" i="25"/>
  <c r="BY124" i="33"/>
  <c r="BZ124" i="33" s="1"/>
  <c r="CB18" i="19"/>
  <c r="BY180" i="33"/>
  <c r="BZ180" i="33" s="1"/>
  <c r="CB18" i="16"/>
  <c r="BQ11" i="2"/>
  <c r="BS11" i="2" s="1"/>
  <c r="BR29" i="2"/>
  <c r="BQ29" i="2"/>
  <c r="BS29" i="2" s="1"/>
  <c r="BQ31" i="2"/>
  <c r="BS31" i="2" s="1"/>
  <c r="BQ35" i="2"/>
  <c r="BS35" i="2" s="1"/>
  <c r="BP12" i="7"/>
  <c r="BR12" i="7" s="1"/>
  <c r="BQ12" i="7"/>
  <c r="BS12" i="7" s="1"/>
  <c r="BP18" i="11"/>
  <c r="BR18" i="11" s="1"/>
  <c r="BQ23" i="11"/>
  <c r="BS23" i="11" s="1"/>
  <c r="BQ25" i="11"/>
  <c r="BS25" i="11" s="1"/>
  <c r="BQ30" i="11"/>
  <c r="BS30" i="11" s="1"/>
  <c r="BQ33" i="11"/>
  <c r="BS33" i="11" s="1"/>
  <c r="BQ27" i="15"/>
  <c r="BS27" i="15" s="1"/>
  <c r="BQ12" i="18"/>
  <c r="BS12" i="18" s="1"/>
  <c r="BQ14" i="18"/>
  <c r="BS14" i="18" s="1"/>
  <c r="BQ16" i="18"/>
  <c r="BS16" i="18" s="1"/>
  <c r="BQ30" i="18"/>
  <c r="BS30" i="18" s="1"/>
  <c r="BQ34" i="18"/>
  <c r="BS34" i="18" s="1"/>
  <c r="BQ37" i="18"/>
  <c r="BS37" i="18" s="1"/>
  <c r="BR16" i="23"/>
  <c r="BQ16" i="23"/>
  <c r="BQ24" i="23"/>
  <c r="BS24" i="23" s="1"/>
  <c r="BP37" i="23"/>
  <c r="BR37" i="23" s="1"/>
  <c r="BQ37" i="23"/>
  <c r="BS37" i="23" s="1"/>
  <c r="BQ20" i="30"/>
  <c r="BS20" i="30" s="1"/>
  <c r="BQ26" i="30"/>
  <c r="BS26" i="30" s="1"/>
  <c r="BP26" i="30"/>
  <c r="BR26" i="30" s="1"/>
  <c r="BQ28" i="30"/>
  <c r="BS28" i="30" s="1"/>
  <c r="BP37" i="30"/>
  <c r="BP24" i="32"/>
  <c r="BR24" i="32" s="1"/>
  <c r="BR15" i="33"/>
  <c r="BG15" i="33"/>
  <c r="BN146" i="33"/>
  <c r="BA25" i="33"/>
  <c r="BB25" i="33"/>
  <c r="K23" i="35"/>
  <c r="AX23" i="33"/>
  <c r="BS23" i="33" s="1"/>
  <c r="H16" i="35"/>
  <c r="H16" i="33"/>
  <c r="BI16" i="33" s="1"/>
  <c r="I15" i="35"/>
  <c r="I15" i="33"/>
  <c r="BJ15" i="33" s="1"/>
  <c r="G14" i="35"/>
  <c r="G14" i="33"/>
  <c r="BH14" i="33" s="1"/>
  <c r="L14" i="35"/>
  <c r="AY14" i="33"/>
  <c r="BT14" i="33" s="1"/>
  <c r="BE13" i="33"/>
  <c r="BQ13" i="33"/>
  <c r="BR13" i="33"/>
  <c r="BG13" i="33"/>
  <c r="BM13" i="33" s="1"/>
  <c r="G12" i="35"/>
  <c r="G12" i="33"/>
  <c r="BH12" i="33" s="1"/>
  <c r="BN73" i="33"/>
  <c r="BN70" i="33"/>
  <c r="BN108" i="33"/>
  <c r="BN141" i="33"/>
  <c r="BN165" i="33"/>
  <c r="BP16" i="13"/>
  <c r="BN194" i="33"/>
  <c r="BN164" i="33"/>
  <c r="AZ11" i="2"/>
  <c r="AW11" i="2"/>
  <c r="BA13" i="2"/>
  <c r="BQ34" i="23"/>
  <c r="BS34" i="23" s="1"/>
  <c r="BN47" i="33"/>
  <c r="BN77" i="33"/>
  <c r="CB12" i="24"/>
  <c r="BN93" i="33"/>
  <c r="C12" i="33"/>
  <c r="BD12" i="33" s="1"/>
  <c r="BN157" i="33"/>
  <c r="C20" i="33"/>
  <c r="BD20" i="33" s="1"/>
  <c r="CB18" i="9"/>
  <c r="CB14" i="21"/>
  <c r="CB15" i="21"/>
  <c r="J24" i="33"/>
  <c r="BK24" i="33" s="1"/>
  <c r="I24" i="33"/>
  <c r="BJ24" i="33" s="1"/>
  <c r="BY51" i="33"/>
  <c r="BZ51" i="33" s="1"/>
  <c r="BQ18" i="23"/>
  <c r="BS18" i="23" s="1"/>
  <c r="BP34" i="32"/>
  <c r="BR34" i="32" s="1"/>
  <c r="BP27" i="23"/>
  <c r="BR27" i="23" s="1"/>
  <c r="BP12" i="23"/>
  <c r="BR12" i="23" s="1"/>
  <c r="AT12" i="7"/>
  <c r="AT11" i="7"/>
  <c r="AT13" i="2"/>
  <c r="AV11" i="2"/>
  <c r="BA15" i="11"/>
  <c r="AV15" i="11"/>
  <c r="BB13" i="2"/>
  <c r="BB11" i="2"/>
  <c r="AT16" i="2"/>
  <c r="CB17" i="12"/>
  <c r="CB16" i="1"/>
  <c r="CB14" i="3"/>
  <c r="CB18" i="4"/>
  <c r="CB14" i="4"/>
  <c r="CB12" i="1"/>
  <c r="CB15" i="4"/>
  <c r="CB13" i="24"/>
  <c r="CB17" i="6"/>
  <c r="AV16" i="2"/>
  <c r="AW13" i="2"/>
  <c r="BC16" i="2"/>
  <c r="AS16" i="7"/>
  <c r="AZ16" i="7"/>
  <c r="BA14" i="7"/>
  <c r="AW12" i="7"/>
  <c r="AS11" i="7"/>
  <c r="AS18" i="11"/>
  <c r="AZ18" i="11"/>
  <c r="AY17" i="11"/>
  <c r="AZ17" i="11"/>
  <c r="AU18" i="11"/>
  <c r="AW17" i="15"/>
  <c r="AY16" i="15"/>
  <c r="AY11" i="15"/>
  <c r="BR31" i="18"/>
  <c r="BS31" i="18" s="1"/>
  <c r="BA17" i="11"/>
  <c r="BC18" i="11"/>
  <c r="BB14" i="15"/>
  <c r="AX15" i="15"/>
  <c r="BB17" i="15"/>
  <c r="BD17" i="15"/>
  <c r="AX12" i="23"/>
  <c r="BC16" i="23"/>
  <c r="BB12" i="30"/>
  <c r="BO15" i="32"/>
  <c r="BN21" i="32"/>
  <c r="BO29" i="32"/>
  <c r="BN31" i="32"/>
  <c r="BO33" i="32"/>
  <c r="BO35" i="32"/>
  <c r="B3" i="35"/>
  <c r="B3" i="33"/>
  <c r="G2" i="35"/>
  <c r="G2" i="33"/>
  <c r="BH2" i="33" s="1"/>
  <c r="G25" i="33"/>
  <c r="BH25" i="33" s="1"/>
  <c r="E22" i="33"/>
  <c r="G22" i="33"/>
  <c r="BH22" i="33" s="1"/>
  <c r="I22" i="33"/>
  <c r="BJ22" i="33" s="1"/>
  <c r="AY22" i="33"/>
  <c r="BT22" i="33" s="1"/>
  <c r="D21" i="33"/>
  <c r="F21" i="33"/>
  <c r="H21" i="33"/>
  <c r="BI21" i="33" s="1"/>
  <c r="J21" i="33"/>
  <c r="BK21" i="33" s="1"/>
  <c r="AY21" i="33"/>
  <c r="BT21" i="33" s="1"/>
  <c r="E20" i="33"/>
  <c r="G20" i="33"/>
  <c r="BH20" i="33" s="1"/>
  <c r="I20" i="33"/>
  <c r="BJ20" i="33" s="1"/>
  <c r="AY20" i="33"/>
  <c r="BT20" i="33" s="1"/>
  <c r="D19" i="33"/>
  <c r="F19" i="33"/>
  <c r="BC19" i="33" s="1"/>
  <c r="H19" i="33"/>
  <c r="BI19" i="33" s="1"/>
  <c r="AX19" i="33"/>
  <c r="BS19" i="33" s="1"/>
  <c r="D18" i="33"/>
  <c r="F18" i="33"/>
  <c r="H18" i="33"/>
  <c r="BI18" i="33" s="1"/>
  <c r="J18" i="33"/>
  <c r="BK18" i="33" s="1"/>
  <c r="D17" i="35"/>
  <c r="D17" i="33"/>
  <c r="G17" i="33"/>
  <c r="BH17" i="33" s="1"/>
  <c r="I17" i="33"/>
  <c r="BJ17" i="33" s="1"/>
  <c r="F16" i="35"/>
  <c r="F16" i="33"/>
  <c r="BB16" i="33"/>
  <c r="G15" i="35"/>
  <c r="G15" i="33"/>
  <c r="BH15" i="33" s="1"/>
  <c r="BA15" i="33"/>
  <c r="K15" i="35"/>
  <c r="AX15" i="33"/>
  <c r="BS15" i="33" s="1"/>
  <c r="E14" i="35"/>
  <c r="E14" i="33"/>
  <c r="BA14" i="33"/>
  <c r="E12" i="35"/>
  <c r="M12" i="35" s="1"/>
  <c r="E12" i="33"/>
  <c r="H11" i="35"/>
  <c r="H11" i="33"/>
  <c r="BI11" i="33" s="1"/>
  <c r="BA22" i="33"/>
  <c r="BQ30" i="32"/>
  <c r="BS30" i="32" s="1"/>
  <c r="BQ18" i="32"/>
  <c r="BS18" i="32" s="1"/>
  <c r="AU14" i="18"/>
  <c r="BO19" i="32"/>
  <c r="BO23" i="32"/>
  <c r="BN29" i="32"/>
  <c r="BP29" i="32" s="1"/>
  <c r="BR29" i="32" s="1"/>
  <c r="B2" i="35"/>
  <c r="B2" i="33"/>
  <c r="BC21" i="33"/>
  <c r="BC13" i="33"/>
  <c r="K2" i="35"/>
  <c r="AX2" i="33"/>
  <c r="BS2" i="33" s="1"/>
  <c r="BF25" i="33"/>
  <c r="BP25" i="33"/>
  <c r="BF24" i="33"/>
  <c r="BP24" i="33"/>
  <c r="BE23" i="33"/>
  <c r="BQ23" i="33"/>
  <c r="BG23" i="33"/>
  <c r="BM23" i="33" s="1"/>
  <c r="BR23" i="33"/>
  <c r="BB18" i="33"/>
  <c r="E17" i="35"/>
  <c r="E17" i="33"/>
  <c r="BB17" i="33"/>
  <c r="L17" i="35"/>
  <c r="AY17" i="33"/>
  <c r="BT17" i="33" s="1"/>
  <c r="D16" i="35"/>
  <c r="D16" i="33"/>
  <c r="D15" i="35"/>
  <c r="D15" i="33"/>
  <c r="C14" i="35"/>
  <c r="C14" i="33"/>
  <c r="BD14" i="33" s="1"/>
  <c r="BR14" i="33"/>
  <c r="BG14" i="33"/>
  <c r="BB13" i="33"/>
  <c r="L13" i="35"/>
  <c r="M13" i="35" s="1"/>
  <c r="AY13" i="33"/>
  <c r="BT13" i="33" s="1"/>
  <c r="BR12" i="33"/>
  <c r="BG12" i="33"/>
  <c r="BA12" i="33"/>
  <c r="L12" i="35"/>
  <c r="AY12" i="33"/>
  <c r="BT12" i="33" s="1"/>
  <c r="I10" i="35"/>
  <c r="I10" i="33"/>
  <c r="BJ10" i="33" s="1"/>
  <c r="BN30" i="33"/>
  <c r="CA10" i="31"/>
  <c r="CB10" i="31" s="1"/>
  <c r="BN144" i="33"/>
  <c r="BN140" i="33"/>
  <c r="BN160" i="33"/>
  <c r="BN183" i="33"/>
  <c r="BN192" i="33"/>
  <c r="AU11" i="2"/>
  <c r="AV13" i="2"/>
  <c r="BQ32" i="32"/>
  <c r="BS32" i="32" s="1"/>
  <c r="BN89" i="33"/>
  <c r="BN85" i="33"/>
  <c r="CB15" i="24"/>
  <c r="CB12" i="19"/>
  <c r="CB16" i="13"/>
  <c r="CB16" i="16"/>
  <c r="CB12" i="9"/>
  <c r="BN191" i="33"/>
  <c r="CB12" i="21"/>
  <c r="F24" i="33"/>
  <c r="BC12" i="7"/>
  <c r="BC11" i="7"/>
  <c r="BD12" i="7"/>
  <c r="AY16" i="2"/>
  <c r="AS13" i="2"/>
  <c r="AY15" i="11"/>
  <c r="AS11" i="2"/>
  <c r="BQ22" i="23"/>
  <c r="BS22" i="23" s="1"/>
  <c r="CB16" i="4"/>
  <c r="CB12" i="4"/>
  <c r="CB12" i="3"/>
  <c r="CB18" i="3"/>
  <c r="CB17" i="4"/>
  <c r="CB15" i="22"/>
  <c r="CB15" i="8"/>
  <c r="CB17" i="27"/>
  <c r="AW16" i="2"/>
  <c r="BA16" i="7"/>
  <c r="BD16" i="7"/>
  <c r="BB12" i="7"/>
  <c r="AZ11" i="7"/>
  <c r="BA18" i="11"/>
  <c r="AV18" i="11"/>
  <c r="AV17" i="11"/>
  <c r="BA17" i="15"/>
  <c r="AU16" i="15"/>
  <c r="BO11" i="32"/>
  <c r="AT14" i="32"/>
  <c r="BC14" i="32"/>
  <c r="BN19" i="32"/>
  <c r="BP19" i="32" s="1"/>
  <c r="BR19" i="32" s="1"/>
  <c r="BN23" i="32"/>
  <c r="BP23" i="32" s="1"/>
  <c r="BR23" i="32" s="1"/>
  <c r="BN25" i="32"/>
  <c r="BO27" i="32"/>
  <c r="F2" i="33"/>
  <c r="J2" i="33"/>
  <c r="BK2" i="33" s="1"/>
  <c r="L2" i="35"/>
  <c r="AY2" i="33"/>
  <c r="BT2" i="33" s="1"/>
  <c r="C25" i="33"/>
  <c r="BD25" i="33" s="1"/>
  <c r="AY25" i="33"/>
  <c r="BT25" i="33" s="1"/>
  <c r="BP16" i="33"/>
  <c r="BF16" i="33"/>
  <c r="J16" i="35"/>
  <c r="J16" i="33"/>
  <c r="BK16" i="33" s="1"/>
  <c r="BA16" i="33"/>
  <c r="K16" i="35"/>
  <c r="AX16" i="33"/>
  <c r="BS16" i="33" s="1"/>
  <c r="BP15" i="33"/>
  <c r="BF15" i="33"/>
  <c r="BB15" i="33"/>
  <c r="BE14" i="33"/>
  <c r="BQ14" i="33"/>
  <c r="I14" i="35"/>
  <c r="I14" i="33"/>
  <c r="BJ14" i="33" s="1"/>
  <c r="BQ12" i="33"/>
  <c r="BE12" i="33"/>
  <c r="I12" i="35"/>
  <c r="I12" i="33"/>
  <c r="BJ12" i="33" s="1"/>
  <c r="F11" i="35"/>
  <c r="F11" i="33"/>
  <c r="J11" i="35"/>
  <c r="J11" i="33"/>
  <c r="BK11" i="33" s="1"/>
  <c r="D8" i="35"/>
  <c r="D8" i="33"/>
  <c r="H8" i="35"/>
  <c r="H8" i="33"/>
  <c r="BI8" i="33" s="1"/>
  <c r="E11" i="33"/>
  <c r="G11" i="33"/>
  <c r="BH11" i="33" s="1"/>
  <c r="I11" i="33"/>
  <c r="BJ11" i="33" s="1"/>
  <c r="E10" i="33"/>
  <c r="BB10" i="33"/>
  <c r="BE9" i="33"/>
  <c r="BQ9" i="33"/>
  <c r="BG9" i="33"/>
  <c r="BM9" i="33" s="1"/>
  <c r="BR9" i="33"/>
  <c r="BB9" i="33"/>
  <c r="K9" i="35"/>
  <c r="AX9" i="33"/>
  <c r="BS9" i="33" s="1"/>
  <c r="E8" i="35"/>
  <c r="E8" i="33"/>
  <c r="I8" i="35"/>
  <c r="I8" i="33"/>
  <c r="BJ8" i="33" s="1"/>
  <c r="BA8" i="33"/>
  <c r="BB8" i="33"/>
  <c r="K8" i="35"/>
  <c r="AX8" i="33"/>
  <c r="BS8" i="33" s="1"/>
  <c r="B4" i="33"/>
  <c r="BN163" i="33"/>
  <c r="CA18" i="29"/>
  <c r="BC20" i="33"/>
  <c r="BC16" i="33"/>
  <c r="BC12" i="33"/>
  <c r="C2" i="33"/>
  <c r="BD2" i="33" s="1"/>
  <c r="E2" i="33"/>
  <c r="H2" i="33"/>
  <c r="BI2" i="33" s="1"/>
  <c r="D25" i="33"/>
  <c r="F25" i="33"/>
  <c r="H25" i="33"/>
  <c r="BI25" i="33" s="1"/>
  <c r="J25" i="33"/>
  <c r="BK25" i="33" s="1"/>
  <c r="AX25" i="33"/>
  <c r="BS25" i="33" s="1"/>
  <c r="BE24" i="33"/>
  <c r="BL24" i="33" s="1"/>
  <c r="BQ24" i="33"/>
  <c r="BA24" i="33"/>
  <c r="BP23" i="33"/>
  <c r="BF23" i="33"/>
  <c r="BB23" i="33"/>
  <c r="BQ22" i="33"/>
  <c r="BE22" i="33"/>
  <c r="BG22" i="33"/>
  <c r="BM22" i="33" s="1"/>
  <c r="BR22" i="33"/>
  <c r="BF21" i="33"/>
  <c r="BP21" i="33"/>
  <c r="BA21" i="33"/>
  <c r="BB21" i="33"/>
  <c r="BQ20" i="33"/>
  <c r="BE20" i="33"/>
  <c r="BG20" i="33"/>
  <c r="BM20" i="33" s="1"/>
  <c r="BR20" i="33"/>
  <c r="BA20" i="33"/>
  <c r="BB20" i="33"/>
  <c r="BP19" i="33"/>
  <c r="BF19" i="33"/>
  <c r="BP18" i="33"/>
  <c r="BF18" i="33"/>
  <c r="BR17" i="33"/>
  <c r="BG17" i="33"/>
  <c r="BP13" i="33"/>
  <c r="BY13" i="33" s="1"/>
  <c r="BZ13" i="33" s="1"/>
  <c r="BF13" i="33"/>
  <c r="BA11" i="33"/>
  <c r="BB11" i="33"/>
  <c r="H10" i="35"/>
  <c r="H10" i="33"/>
  <c r="BI10" i="33" s="1"/>
  <c r="L9" i="35"/>
  <c r="AY9" i="33"/>
  <c r="BT9" i="33" s="1"/>
  <c r="F8" i="35"/>
  <c r="F8" i="33"/>
  <c r="J8" i="35"/>
  <c r="J8" i="33"/>
  <c r="BK8" i="33" s="1"/>
  <c r="L8" i="35"/>
  <c r="AY8" i="33"/>
  <c r="BT8" i="33" s="1"/>
  <c r="BQ6" i="33"/>
  <c r="BE6" i="33"/>
  <c r="BG6" i="33"/>
  <c r="BM6" i="33" s="1"/>
  <c r="BR6" i="33"/>
  <c r="BB7" i="33"/>
  <c r="BY179" i="33"/>
  <c r="BZ179" i="33" s="1"/>
  <c r="CB17" i="16"/>
  <c r="B24" i="35"/>
  <c r="M24" i="35" s="1"/>
  <c r="B24" i="33"/>
  <c r="BC24" i="33" s="1"/>
  <c r="F10" i="35"/>
  <c r="F10" i="33"/>
  <c r="BP9" i="33"/>
  <c r="BF9" i="33"/>
  <c r="C8" i="35"/>
  <c r="C8" i="33"/>
  <c r="BD8" i="33" s="1"/>
  <c r="G8" i="35"/>
  <c r="G8" i="33"/>
  <c r="BH8" i="33" s="1"/>
  <c r="E7" i="35"/>
  <c r="E7" i="33"/>
  <c r="H7" i="35"/>
  <c r="H7" i="33"/>
  <c r="BI7" i="33" s="1"/>
  <c r="BY41" i="33"/>
  <c r="BZ41" i="33" s="1"/>
  <c r="CB12" i="10"/>
  <c r="BY45" i="33"/>
  <c r="BZ45" i="33" s="1"/>
  <c r="CB16" i="10"/>
  <c r="BN153" i="33"/>
  <c r="BN156" i="33"/>
  <c r="BN147" i="33"/>
  <c r="BY147" i="33"/>
  <c r="BZ147" i="33" s="1"/>
  <c r="CB13" i="14"/>
  <c r="BY134" i="33"/>
  <c r="BZ134" i="33" s="1"/>
  <c r="CB14" i="28"/>
  <c r="BN136" i="33"/>
  <c r="BY138" i="33"/>
  <c r="BZ138" i="33" s="1"/>
  <c r="CB18" i="28"/>
  <c r="BY127" i="33"/>
  <c r="BZ127" i="33" s="1"/>
  <c r="CB14" i="27"/>
  <c r="BN130" i="33"/>
  <c r="BY131" i="33"/>
  <c r="BZ131" i="33" s="1"/>
  <c r="CB18" i="27"/>
  <c r="BN118" i="33"/>
  <c r="BN124" i="33"/>
  <c r="BN111" i="33"/>
  <c r="BN113" i="33"/>
  <c r="BY113" i="33"/>
  <c r="BZ113" i="33" s="1"/>
  <c r="CB14" i="8"/>
  <c r="BN106" i="33"/>
  <c r="BY98" i="33"/>
  <c r="BZ98" i="33" s="1"/>
  <c r="CB13" i="20"/>
  <c r="BY101" i="33"/>
  <c r="BZ101" i="33" s="1"/>
  <c r="CB16" i="20"/>
  <c r="BY103" i="33"/>
  <c r="BZ103" i="33" s="1"/>
  <c r="CB18" i="20"/>
  <c r="BY89" i="33"/>
  <c r="BZ89" i="33" s="1"/>
  <c r="CB18" i="25"/>
  <c r="BY78" i="33"/>
  <c r="BZ78" i="33" s="1"/>
  <c r="CB14" i="22"/>
  <c r="BY70" i="33"/>
  <c r="BZ70" i="33" s="1"/>
  <c r="CB13" i="4"/>
  <c r="BN66" i="33"/>
  <c r="BN68" i="33"/>
  <c r="BN60" i="33"/>
  <c r="BN52" i="33"/>
  <c r="F7" i="35"/>
  <c r="F7" i="33"/>
  <c r="I7" i="33"/>
  <c r="BJ7" i="33" s="1"/>
  <c r="BA6" i="33"/>
  <c r="BB6" i="33"/>
  <c r="H5" i="35"/>
  <c r="H5" i="33"/>
  <c r="BI5" i="33" s="1"/>
  <c r="BQ4" i="33"/>
  <c r="BE4" i="33"/>
  <c r="BG4" i="33"/>
  <c r="BM4" i="33" s="1"/>
  <c r="BR4" i="33"/>
  <c r="BA4" i="33"/>
  <c r="BB4" i="33"/>
  <c r="D3" i="35"/>
  <c r="D3" i="33"/>
  <c r="H3" i="35"/>
  <c r="H3" i="33"/>
  <c r="BI3" i="33" s="1"/>
  <c r="BN27" i="33"/>
  <c r="BN41" i="33"/>
  <c r="BN42" i="33"/>
  <c r="BN15" i="10"/>
  <c r="BN46" i="33"/>
  <c r="BN178" i="33"/>
  <c r="BO12" i="17"/>
  <c r="BM167" i="33" s="1"/>
  <c r="BN15" i="17"/>
  <c r="BY173" i="33"/>
  <c r="BZ173" i="33" s="1"/>
  <c r="CB18" i="17"/>
  <c r="CA10" i="29"/>
  <c r="CB10" i="29" s="1"/>
  <c r="CA16" i="29"/>
  <c r="BN154" i="33"/>
  <c r="BN148" i="33"/>
  <c r="BY148" i="33"/>
  <c r="BZ148" i="33" s="1"/>
  <c r="CB14" i="14"/>
  <c r="BN150" i="33"/>
  <c r="BY150" i="33"/>
  <c r="BZ150" i="33" s="1"/>
  <c r="CB16" i="14"/>
  <c r="BN134" i="33"/>
  <c r="BN138" i="33"/>
  <c r="BP10" i="27"/>
  <c r="BL127" i="33"/>
  <c r="BN127" i="33" s="1"/>
  <c r="BP14" i="27"/>
  <c r="BN128" i="33"/>
  <c r="BN120" i="33"/>
  <c r="BY107" i="33"/>
  <c r="BZ107" i="33" s="1"/>
  <c r="CB15" i="6"/>
  <c r="BY110" i="33"/>
  <c r="BZ110" i="33" s="1"/>
  <c r="CB18" i="6"/>
  <c r="BL103" i="33"/>
  <c r="BN103" i="33" s="1"/>
  <c r="BP18" i="20"/>
  <c r="BN83" i="33"/>
  <c r="BN87" i="33"/>
  <c r="BN61" i="33"/>
  <c r="BY61" i="33"/>
  <c r="BZ61" i="33" s="1"/>
  <c r="CB18" i="1"/>
  <c r="I5" i="35"/>
  <c r="I5" i="33"/>
  <c r="BJ5" i="33" s="1"/>
  <c r="D7" i="35"/>
  <c r="D7" i="33"/>
  <c r="BC7" i="33" s="1"/>
  <c r="BF6" i="33"/>
  <c r="BP6" i="33"/>
  <c r="BY6" i="33" s="1"/>
  <c r="BZ6" i="33" s="1"/>
  <c r="BA5" i="33"/>
  <c r="BB5" i="33"/>
  <c r="K5" i="35"/>
  <c r="AX5" i="33"/>
  <c r="BS5" i="33" s="1"/>
  <c r="L4" i="35"/>
  <c r="M4" i="35" s="1"/>
  <c r="AY4" i="33"/>
  <c r="BT4" i="33" s="1"/>
  <c r="BN14" i="10"/>
  <c r="BN45" i="33"/>
  <c r="CA19" i="10"/>
  <c r="CB19" i="10" s="1"/>
  <c r="BN186" i="33"/>
  <c r="CA9" i="16"/>
  <c r="CB9" i="16" s="1"/>
  <c r="BN17" i="16"/>
  <c r="BN12" i="17"/>
  <c r="BN168" i="33"/>
  <c r="CB13" i="17"/>
  <c r="BY170" i="33"/>
  <c r="BZ170" i="33" s="1"/>
  <c r="CB15" i="17"/>
  <c r="BN173" i="33"/>
  <c r="BO10" i="29"/>
  <c r="BP10" i="29" s="1"/>
  <c r="CA13" i="29"/>
  <c r="BN155" i="33"/>
  <c r="BN151" i="33"/>
  <c r="BN142" i="33"/>
  <c r="BY142" i="33"/>
  <c r="BZ142" i="33" s="1"/>
  <c r="CB15" i="26"/>
  <c r="BN132" i="33"/>
  <c r="BN135" i="33"/>
  <c r="BL129" i="33"/>
  <c r="BN129" i="33" s="1"/>
  <c r="BP16" i="27"/>
  <c r="BN121" i="33"/>
  <c r="BY121" i="33"/>
  <c r="BZ121" i="33" s="1"/>
  <c r="CB15" i="19"/>
  <c r="BY104" i="33"/>
  <c r="BZ104" i="33" s="1"/>
  <c r="CB12" i="6"/>
  <c r="BY108" i="33"/>
  <c r="BZ108" i="33" s="1"/>
  <c r="CB16" i="6"/>
  <c r="BN97" i="33"/>
  <c r="BN99" i="33"/>
  <c r="BY99" i="33"/>
  <c r="BZ99" i="33" s="1"/>
  <c r="CB14" i="20"/>
  <c r="BL101" i="33"/>
  <c r="BN101" i="33" s="1"/>
  <c r="BP16" i="20"/>
  <c r="BN91" i="33"/>
  <c r="BY94" i="33"/>
  <c r="BZ94" i="33" s="1"/>
  <c r="CB16" i="24"/>
  <c r="BN79" i="33"/>
  <c r="BN65" i="33"/>
  <c r="BN67" i="33"/>
  <c r="BN55" i="33"/>
  <c r="BY56" i="33"/>
  <c r="BZ56" i="33" s="1"/>
  <c r="CB13" i="1"/>
  <c r="BY57" i="33"/>
  <c r="BZ57" i="33" s="1"/>
  <c r="CB14" i="1"/>
  <c r="J7" i="35"/>
  <c r="J7" i="33"/>
  <c r="BK7" i="33" s="1"/>
  <c r="BA7" i="33"/>
  <c r="F5" i="35"/>
  <c r="F5" i="33"/>
  <c r="F3" i="35"/>
  <c r="F3" i="33"/>
  <c r="BN32" i="33"/>
  <c r="BN31" i="33"/>
  <c r="BN13" i="31"/>
  <c r="CA9" i="31"/>
  <c r="CB9" i="31" s="1"/>
  <c r="CA8" i="10"/>
  <c r="CB8" i="10" s="1"/>
  <c r="BN182" i="33"/>
  <c r="CA19" i="21"/>
  <c r="CB19" i="21" s="1"/>
  <c r="BO14" i="16"/>
  <c r="BM176" i="33" s="1"/>
  <c r="BO18" i="16"/>
  <c r="BN171" i="33"/>
  <c r="BY171" i="33"/>
  <c r="BZ171" i="33" s="1"/>
  <c r="CB16" i="17"/>
  <c r="BN172" i="33"/>
  <c r="BY162" i="33"/>
  <c r="BZ162" i="33" s="1"/>
  <c r="CB14" i="29"/>
  <c r="BO18" i="29"/>
  <c r="BN159" i="33"/>
  <c r="BY159" i="33"/>
  <c r="BZ159" i="33" s="1"/>
  <c r="CB18" i="13"/>
  <c r="BY146" i="33"/>
  <c r="BZ146" i="33" s="1"/>
  <c r="CB12" i="14"/>
  <c r="BN143" i="33"/>
  <c r="BN122" i="33"/>
  <c r="BY123" i="33"/>
  <c r="BZ123" i="33" s="1"/>
  <c r="CB17" i="19"/>
  <c r="BY115" i="33"/>
  <c r="BZ115" i="33" s="1"/>
  <c r="CB16" i="8"/>
  <c r="BY105" i="33"/>
  <c r="BZ105" i="33" s="1"/>
  <c r="CB13" i="6"/>
  <c r="BY85" i="33"/>
  <c r="BZ85" i="33" s="1"/>
  <c r="CB14" i="25"/>
  <c r="BN63" i="33"/>
  <c r="BN59" i="33"/>
  <c r="BN53" i="33"/>
  <c r="BN49" i="33"/>
  <c r="BN38" i="33"/>
  <c r="BN133" i="33"/>
  <c r="BN125" i="33"/>
  <c r="BN119" i="33"/>
  <c r="BN100" i="33"/>
  <c r="BN74" i="33"/>
  <c r="BN62" i="33"/>
  <c r="BN64" i="33"/>
  <c r="BN50" i="33"/>
  <c r="BA9" i="33"/>
  <c r="BN18" i="22"/>
  <c r="BN39" i="33"/>
  <c r="BN35" i="33"/>
  <c r="BY135" i="33"/>
  <c r="BZ135" i="33" s="1"/>
  <c r="L5" i="35"/>
  <c r="CG17" i="31"/>
  <c r="E5" i="33"/>
  <c r="G5" i="33"/>
  <c r="BH5" i="33" s="1"/>
  <c r="J5" i="33"/>
  <c r="BK5" i="33" s="1"/>
  <c r="AX4" i="33"/>
  <c r="BS4" i="33" s="1"/>
  <c r="E3" i="33"/>
  <c r="G3" i="33"/>
  <c r="BH3" i="33" s="1"/>
  <c r="I3" i="33"/>
  <c r="BJ3" i="33" s="1"/>
  <c r="AX3" i="33"/>
  <c r="BS3" i="33" s="1"/>
  <c r="CA12" i="20"/>
  <c r="BN17" i="25"/>
  <c r="AG21" i="5"/>
  <c r="AE3" i="33" s="1"/>
  <c r="Q22" i="10"/>
  <c r="O4" i="34" s="1"/>
  <c r="X22" i="10"/>
  <c r="V4" i="34" s="1"/>
  <c r="Q21" i="12"/>
  <c r="O5" i="33" s="1"/>
  <c r="BV5" i="33" s="1"/>
  <c r="U22" i="12"/>
  <c r="S5" i="34" s="1"/>
  <c r="AG22" i="1"/>
  <c r="AE6" i="34" s="1"/>
  <c r="X22" i="1"/>
  <c r="V6" i="34" s="1"/>
  <c r="D11" i="35"/>
  <c r="M11" i="35" s="1"/>
  <c r="D11" i="33"/>
  <c r="AM22" i="20"/>
  <c r="AK12" i="34" s="1"/>
  <c r="C17" i="35"/>
  <c r="M17" i="35" s="1"/>
  <c r="C17" i="33"/>
  <c r="BD17" i="33" s="1"/>
  <c r="BN17" i="28"/>
  <c r="C18" i="35"/>
  <c r="M18" i="35" s="1"/>
  <c r="C18" i="33"/>
  <c r="BD18" i="33" s="1"/>
  <c r="BN18" i="14"/>
  <c r="BW12" i="16"/>
  <c r="CA12" i="16" s="1"/>
  <c r="N22" i="16"/>
  <c r="L23" i="34" s="1"/>
  <c r="CG18" i="21"/>
  <c r="BD18" i="21"/>
  <c r="BF4" i="33"/>
  <c r="BP4" i="33"/>
  <c r="BB3" i="33"/>
  <c r="CB18" i="14"/>
  <c r="CB12" i="26"/>
  <c r="CB16" i="26"/>
  <c r="CA15" i="25"/>
  <c r="BN81" i="33"/>
  <c r="AJ21" i="5"/>
  <c r="AH3" i="33" s="1"/>
  <c r="AQ22" i="5"/>
  <c r="AO3" i="34" s="1"/>
  <c r="L22" i="5"/>
  <c r="J3" i="34" s="1"/>
  <c r="AO21" i="12"/>
  <c r="AM5" i="33" s="1"/>
  <c r="BN14" i="1"/>
  <c r="BN15" i="1"/>
  <c r="F21" i="25"/>
  <c r="BN18" i="24"/>
  <c r="AN22" i="8"/>
  <c r="AL14" i="34" s="1"/>
  <c r="BA23" i="33"/>
  <c r="CG18" i="16"/>
  <c r="AY22" i="16"/>
  <c r="AW23" i="34" s="1"/>
  <c r="CB14" i="13"/>
  <c r="CA15" i="13"/>
  <c r="CB13" i="26"/>
  <c r="CB17" i="28"/>
  <c r="CB13" i="27"/>
  <c r="CB12" i="8"/>
  <c r="CB18" i="8"/>
  <c r="CB17" i="20"/>
  <c r="CA17" i="24"/>
  <c r="CB15" i="3"/>
  <c r="CB16" i="3"/>
  <c r="CB17" i="3"/>
  <c r="BN15" i="12"/>
  <c r="CA16" i="12"/>
  <c r="BD13" i="31"/>
  <c r="BD18" i="31"/>
  <c r="AY22" i="31"/>
  <c r="AW2" i="34" s="1"/>
  <c r="CG16" i="31"/>
  <c r="CG21" i="31" s="1"/>
  <c r="CE2" i="33" s="1"/>
  <c r="BD16" i="31"/>
  <c r="W22" i="5"/>
  <c r="U3" i="34" s="1"/>
  <c r="BN13" i="1"/>
  <c r="AK22" i="22"/>
  <c r="AI9" i="34" s="1"/>
  <c r="AK21" i="17"/>
  <c r="AI22" i="33" s="1"/>
  <c r="AR22" i="17"/>
  <c r="AP22" i="34" s="1"/>
  <c r="J22" i="35"/>
  <c r="J22" i="33"/>
  <c r="BK22" i="33" s="1"/>
  <c r="BN15" i="16"/>
  <c r="AN22" i="20"/>
  <c r="AL12" i="34" s="1"/>
  <c r="AK22" i="6"/>
  <c r="AI13" i="34" s="1"/>
  <c r="AG22" i="19"/>
  <c r="AE15" i="34" s="1"/>
  <c r="AO22" i="27"/>
  <c r="AM16" i="34" s="1"/>
  <c r="AO21" i="28"/>
  <c r="AM17" i="33" s="1"/>
  <c r="BN15" i="14"/>
  <c r="R22" i="13"/>
  <c r="P20" i="34" s="1"/>
  <c r="AN21" i="17"/>
  <c r="AL22" i="33" s="1"/>
  <c r="R22" i="16"/>
  <c r="P23" i="34" s="1"/>
  <c r="R21" i="16"/>
  <c r="P23" i="33" s="1"/>
  <c r="BN13" i="16"/>
  <c r="R21" i="9"/>
  <c r="P25" i="33" s="1"/>
  <c r="AL21" i="9"/>
  <c r="AJ25" i="33" s="1"/>
  <c r="AK22" i="21"/>
  <c r="AI24" i="34" s="1"/>
  <c r="CE21" i="12"/>
  <c r="CC5" i="33" s="1"/>
  <c r="CE22" i="12"/>
  <c r="AD21" i="1"/>
  <c r="AB6" i="33" s="1"/>
  <c r="AO22" i="22"/>
  <c r="AM9" i="34" s="1"/>
  <c r="AN22" i="25"/>
  <c r="AL10" i="34" s="1"/>
  <c r="AO22" i="24"/>
  <c r="AM11" i="34" s="1"/>
  <c r="R22" i="20"/>
  <c r="P12" i="34" s="1"/>
  <c r="AJ22" i="20"/>
  <c r="AH12" i="34" s="1"/>
  <c r="CG12" i="20"/>
  <c r="CG21" i="20" s="1"/>
  <c r="CE12" i="33" s="1"/>
  <c r="AY22" i="20"/>
  <c r="AW12" i="34" s="1"/>
  <c r="AY21" i="20"/>
  <c r="AW12" i="33" s="1"/>
  <c r="BB12" i="33" s="1"/>
  <c r="AR22" i="8"/>
  <c r="AP14" i="34" s="1"/>
  <c r="BC17" i="8"/>
  <c r="E21" i="19"/>
  <c r="AI22" i="19"/>
  <c r="AG15" i="34" s="1"/>
  <c r="BO17" i="19"/>
  <c r="AR21" i="28"/>
  <c r="AP17" i="33" s="1"/>
  <c r="BA17" i="33" s="1"/>
  <c r="R22" i="26"/>
  <c r="P18" i="34" s="1"/>
  <c r="AL22" i="26"/>
  <c r="AJ18" i="34" s="1"/>
  <c r="AK21" i="14"/>
  <c r="AI19" i="33" s="1"/>
  <c r="AG21" i="13"/>
  <c r="AE20" i="33" s="1"/>
  <c r="E21" i="17"/>
  <c r="R22" i="17"/>
  <c r="P22" i="34" s="1"/>
  <c r="CG12" i="17"/>
  <c r="CG21" i="17" s="1"/>
  <c r="CE22" i="33" s="1"/>
  <c r="AY22" i="17"/>
  <c r="AW22" i="34" s="1"/>
  <c r="BN14" i="17"/>
  <c r="BC18" i="16"/>
  <c r="U21" i="16"/>
  <c r="S23" i="33" s="1"/>
  <c r="AL22" i="16"/>
  <c r="AJ23" i="34" s="1"/>
  <c r="AO21" i="16"/>
  <c r="AM23" i="33" s="1"/>
  <c r="AL21" i="16"/>
  <c r="AJ23" i="33" s="1"/>
  <c r="S22" i="9"/>
  <c r="Q25" i="34" s="1"/>
  <c r="AM22" i="9"/>
  <c r="AK25" i="34" s="1"/>
  <c r="BP19" i="5"/>
  <c r="BQ19" i="5" s="1"/>
  <c r="E21" i="5"/>
  <c r="R21" i="25"/>
  <c r="P10" i="33" s="1"/>
  <c r="AL21" i="25"/>
  <c r="AJ10" i="33" s="1"/>
  <c r="AO21" i="25"/>
  <c r="AM10" i="33" s="1"/>
  <c r="AK21" i="24"/>
  <c r="AI11" i="33" s="1"/>
  <c r="AL21" i="6"/>
  <c r="AJ13" i="33" s="1"/>
  <c r="AF22" i="27"/>
  <c r="AD16" i="34" s="1"/>
  <c r="AL22" i="28"/>
  <c r="AJ17" i="34" s="1"/>
  <c r="AN22" i="17"/>
  <c r="AL22" i="34" s="1"/>
  <c r="AG21" i="17"/>
  <c r="AE22" i="33" s="1"/>
  <c r="U21" i="17"/>
  <c r="S22" i="33" s="1"/>
  <c r="CG12" i="21"/>
  <c r="CG21" i="21" s="1"/>
  <c r="CE24" i="33" s="1"/>
  <c r="AY21" i="21"/>
  <c r="AW24" i="33" s="1"/>
  <c r="BB24" i="33" s="1"/>
  <c r="BP15" i="5"/>
  <c r="AK22" i="24"/>
  <c r="AI11" i="34" s="1"/>
  <c r="CG21" i="16"/>
  <c r="CE23" i="33" s="1"/>
  <c r="CD21" i="25"/>
  <c r="CB10" i="33" s="1"/>
  <c r="CD22" i="25"/>
  <c r="CB14" i="5"/>
  <c r="CB15" i="5"/>
  <c r="CE21" i="21"/>
  <c r="CC24" i="33" s="1"/>
  <c r="CE22" i="21"/>
  <c r="CD21" i="26"/>
  <c r="CB18" i="33" s="1"/>
  <c r="CD22" i="26"/>
  <c r="CG21" i="14"/>
  <c r="CE19" i="33" s="1"/>
  <c r="CG21" i="28"/>
  <c r="CE17" i="33" s="1"/>
  <c r="CH21" i="5"/>
  <c r="CE3" i="33" s="1"/>
  <c r="CE22" i="31"/>
  <c r="CD22" i="19"/>
  <c r="CD22" i="22"/>
  <c r="CD22" i="1"/>
  <c r="CG21" i="9"/>
  <c r="CE25" i="33" s="1"/>
  <c r="CF21" i="17"/>
  <c r="CD22" i="33" s="1"/>
  <c r="CG21" i="27"/>
  <c r="CE16" i="33" s="1"/>
  <c r="CG21" i="6"/>
  <c r="CE13" i="33" s="1"/>
  <c r="CF21" i="1"/>
  <c r="CD6" i="33" s="1"/>
  <c r="CD21" i="12"/>
  <c r="CB5" i="33" s="1"/>
  <c r="CF22" i="21"/>
  <c r="CF22" i="25"/>
  <c r="CG21" i="25"/>
  <c r="CE10" i="33" s="1"/>
  <c r="CF21" i="22"/>
  <c r="CD9" i="33" s="1"/>
  <c r="CE22" i="10"/>
  <c r="CD21" i="21"/>
  <c r="CB24" i="33" s="1"/>
  <c r="CE22" i="17"/>
  <c r="CD22" i="13"/>
  <c r="CD21" i="14"/>
  <c r="CB19" i="33" s="1"/>
  <c r="CD22" i="24"/>
  <c r="CD22" i="4"/>
  <c r="CD21" i="3"/>
  <c r="CB7" i="33" s="1"/>
  <c r="CG22" i="13"/>
  <c r="CG22" i="27"/>
  <c r="CF22" i="19"/>
  <c r="CF21" i="20"/>
  <c r="CD12" i="33" s="1"/>
  <c r="CG22" i="3"/>
  <c r="CD22" i="21"/>
  <c r="CE22" i="13"/>
  <c r="CD22" i="14"/>
  <c r="CE22" i="26"/>
  <c r="CD22" i="12"/>
  <c r="CF21" i="31"/>
  <c r="CD2" i="33" s="1"/>
  <c r="CF22" i="14"/>
  <c r="CF21" i="14"/>
  <c r="CD19" i="33" s="1"/>
  <c r="CF21" i="27"/>
  <c r="CD16" i="33" s="1"/>
  <c r="CG22" i="19"/>
  <c r="CF21" i="8"/>
  <c r="CD14" i="33" s="1"/>
  <c r="CF22" i="22"/>
  <c r="CF21" i="4"/>
  <c r="CD8" i="33" s="1"/>
  <c r="CG21" i="12"/>
  <c r="CE5" i="33" s="1"/>
  <c r="CG22" i="12"/>
  <c r="CH22" i="5"/>
  <c r="CE21" i="10"/>
  <c r="CC4" i="33" s="1"/>
  <c r="CD22" i="16"/>
  <c r="CD22" i="27"/>
  <c r="CD21" i="20"/>
  <c r="CB12" i="33" s="1"/>
  <c r="CE21" i="25"/>
  <c r="CC10" i="33" s="1"/>
  <c r="CG22" i="4"/>
  <c r="CF22" i="3"/>
  <c r="CC15" i="5" l="1"/>
  <c r="BY37" i="33"/>
  <c r="BZ37" i="33" s="1"/>
  <c r="BL169" i="33"/>
  <c r="BN169" i="33" s="1"/>
  <c r="BP14" i="17"/>
  <c r="C22" i="35"/>
  <c r="M22" i="35" s="1"/>
  <c r="C22" i="33"/>
  <c r="C15" i="35"/>
  <c r="M15" i="35" s="1"/>
  <c r="C15" i="33"/>
  <c r="D10" i="35"/>
  <c r="D10" i="33"/>
  <c r="BY86" i="33"/>
  <c r="BZ86" i="33" s="1"/>
  <c r="CB15" i="25"/>
  <c r="BL88" i="33"/>
  <c r="BN88" i="33" s="1"/>
  <c r="BP17" i="25"/>
  <c r="CC14" i="5"/>
  <c r="BY36" i="33"/>
  <c r="BZ36" i="33" s="1"/>
  <c r="BL175" i="33"/>
  <c r="BN175" i="33" s="1"/>
  <c r="BP13" i="16"/>
  <c r="CB16" i="12"/>
  <c r="BY52" i="33"/>
  <c r="BZ52" i="33" s="1"/>
  <c r="CB15" i="13"/>
  <c r="BY156" i="33"/>
  <c r="BZ156" i="33" s="1"/>
  <c r="BL58" i="33"/>
  <c r="BN58" i="33" s="1"/>
  <c r="BP15" i="1"/>
  <c r="BY4" i="33"/>
  <c r="BZ4" i="33" s="1"/>
  <c r="BY97" i="33"/>
  <c r="BZ97" i="33" s="1"/>
  <c r="CB12" i="20"/>
  <c r="BF3" i="33"/>
  <c r="BP3" i="33"/>
  <c r="BF5" i="33"/>
  <c r="BP5" i="33"/>
  <c r="BM180" i="33"/>
  <c r="BN180" i="33" s="1"/>
  <c r="BP18" i="16"/>
  <c r="BL167" i="33"/>
  <c r="BN167" i="33" s="1"/>
  <c r="BP12" i="17"/>
  <c r="M7" i="35"/>
  <c r="BY164" i="33"/>
  <c r="BZ164" i="33" s="1"/>
  <c r="CB16" i="29"/>
  <c r="BL170" i="33"/>
  <c r="BN170" i="33" s="1"/>
  <c r="BP15" i="17"/>
  <c r="BL44" i="33"/>
  <c r="BN44" i="33" s="1"/>
  <c r="BP15" i="10"/>
  <c r="BL4" i="33"/>
  <c r="BN4" i="33" s="1"/>
  <c r="BY9" i="33"/>
  <c r="BZ9" i="33" s="1"/>
  <c r="BG8" i="33"/>
  <c r="BM8" i="33" s="1"/>
  <c r="BR8" i="33"/>
  <c r="BY23" i="33"/>
  <c r="BZ23" i="33" s="1"/>
  <c r="BR25" i="33"/>
  <c r="BG25" i="33"/>
  <c r="BM25" i="33" s="1"/>
  <c r="BC14" i="33"/>
  <c r="BC4" i="33"/>
  <c r="BF11" i="33"/>
  <c r="BP11" i="33"/>
  <c r="BR2" i="33"/>
  <c r="BG2" i="33"/>
  <c r="BM2" i="33" s="1"/>
  <c r="BP11" i="32"/>
  <c r="BR11" i="32" s="1"/>
  <c r="BL23" i="33"/>
  <c r="BN23" i="33" s="1"/>
  <c r="BC23" i="33"/>
  <c r="BQ23" i="32"/>
  <c r="BS23" i="32" s="1"/>
  <c r="BF12" i="33"/>
  <c r="BP12" i="33"/>
  <c r="BY12" i="33" s="1"/>
  <c r="BZ12" i="33" s="1"/>
  <c r="BQ18" i="33"/>
  <c r="BE18" i="33"/>
  <c r="BE19" i="33"/>
  <c r="BL19" i="33" s="1"/>
  <c r="BQ19" i="33"/>
  <c r="BF20" i="33"/>
  <c r="BP20" i="33"/>
  <c r="BY20" i="33" s="1"/>
  <c r="BZ20" i="33" s="1"/>
  <c r="BR21" i="33"/>
  <c r="BG21" i="33"/>
  <c r="BM21" i="33" s="1"/>
  <c r="BP15" i="32"/>
  <c r="BR15" i="32" s="1"/>
  <c r="BL13" i="33"/>
  <c r="BN13" i="33" s="1"/>
  <c r="BQ24" i="32"/>
  <c r="BS24" i="32" s="1"/>
  <c r="BQ18" i="11"/>
  <c r="BS18" i="11" s="1"/>
  <c r="BQ34" i="32"/>
  <c r="BS34" i="32" s="1"/>
  <c r="BR15" i="11"/>
  <c r="BQ15" i="11"/>
  <c r="BS15" i="11" s="1"/>
  <c r="BQ33" i="23"/>
  <c r="BS33" i="23" s="1"/>
  <c r="BQ29" i="18"/>
  <c r="BS29" i="18" s="1"/>
  <c r="BQ18" i="15"/>
  <c r="BS18" i="15" s="1"/>
  <c r="BQ5" i="33"/>
  <c r="BE5" i="33"/>
  <c r="BL5" i="33" s="1"/>
  <c r="BS38" i="32"/>
  <c r="BQ31" i="15"/>
  <c r="BS31" i="15" s="1"/>
  <c r="BL56" i="33"/>
  <c r="BN56" i="33" s="1"/>
  <c r="BP13" i="1"/>
  <c r="BL51" i="33"/>
  <c r="BN51" i="33" s="1"/>
  <c r="BP15" i="12"/>
  <c r="BL137" i="33"/>
  <c r="BN137" i="33" s="1"/>
  <c r="BP17" i="28"/>
  <c r="BQ11" i="33"/>
  <c r="BE11" i="33"/>
  <c r="BL11" i="33" s="1"/>
  <c r="BM166" i="33"/>
  <c r="BN166" i="33" s="1"/>
  <c r="BP18" i="29"/>
  <c r="BG3" i="33"/>
  <c r="BM3" i="33" s="1"/>
  <c r="BR3" i="33"/>
  <c r="BY161" i="33"/>
  <c r="BZ161" i="33" s="1"/>
  <c r="CB13" i="29"/>
  <c r="BL179" i="33"/>
  <c r="BN179" i="33" s="1"/>
  <c r="BP17" i="16"/>
  <c r="BF7" i="33"/>
  <c r="BP7" i="33"/>
  <c r="BR10" i="33"/>
  <c r="BG10" i="33"/>
  <c r="BM10" i="33" s="1"/>
  <c r="BQ25" i="33"/>
  <c r="BE25" i="33"/>
  <c r="BL25" i="33" s="1"/>
  <c r="BN25" i="33" s="1"/>
  <c r="BC8" i="33"/>
  <c r="BY166" i="33"/>
  <c r="BZ166" i="33" s="1"/>
  <c r="CB18" i="29"/>
  <c r="BF10" i="33"/>
  <c r="BP10" i="33"/>
  <c r="BC25" i="33"/>
  <c r="BQ16" i="33"/>
  <c r="BE16" i="33"/>
  <c r="BL16" i="33" s="1"/>
  <c r="BC9" i="33"/>
  <c r="BC17" i="33"/>
  <c r="BC2" i="33"/>
  <c r="BQ19" i="32"/>
  <c r="BS19" i="32" s="1"/>
  <c r="BQ21" i="33"/>
  <c r="BY21" i="33" s="1"/>
  <c r="BZ21" i="33" s="1"/>
  <c r="BE21" i="33"/>
  <c r="BL21" i="33" s="1"/>
  <c r="BN21" i="33" s="1"/>
  <c r="BP22" i="33"/>
  <c r="BY22" i="33" s="1"/>
  <c r="BZ22" i="33" s="1"/>
  <c r="BF22" i="33"/>
  <c r="BC3" i="33"/>
  <c r="BQ31" i="32"/>
  <c r="BS31" i="32" s="1"/>
  <c r="BP31" i="32"/>
  <c r="BR31" i="32" s="1"/>
  <c r="BL12" i="33"/>
  <c r="BR34" i="2"/>
  <c r="BQ34" i="2"/>
  <c r="BS34" i="2" s="1"/>
  <c r="BR17" i="2"/>
  <c r="BQ17" i="2"/>
  <c r="BQ12" i="23"/>
  <c r="BS12" i="23" s="1"/>
  <c r="BL9" i="33"/>
  <c r="BN9" i="33" s="1"/>
  <c r="M5" i="35"/>
  <c r="BQ19" i="23"/>
  <c r="BR19" i="23"/>
  <c r="M10" i="35"/>
  <c r="BM37" i="33"/>
  <c r="BN37" i="33" s="1"/>
  <c r="BQ15" i="5"/>
  <c r="BM123" i="33"/>
  <c r="BN123" i="33" s="1"/>
  <c r="BP17" i="19"/>
  <c r="BL149" i="33"/>
  <c r="BN149" i="33" s="1"/>
  <c r="BP15" i="14"/>
  <c r="CB17" i="24"/>
  <c r="BY95" i="33"/>
  <c r="BZ95" i="33" s="1"/>
  <c r="BL57" i="33"/>
  <c r="BN57" i="33" s="1"/>
  <c r="BP14" i="1"/>
  <c r="BY174" i="33"/>
  <c r="BZ174" i="33" s="1"/>
  <c r="CB12" i="16"/>
  <c r="C3" i="35"/>
  <c r="M3" i="35" s="1"/>
  <c r="C3" i="33"/>
  <c r="BD3" i="33" s="1"/>
  <c r="BL96" i="33"/>
  <c r="BN96" i="33" s="1"/>
  <c r="BP18" i="24"/>
  <c r="BL152" i="33"/>
  <c r="BN152" i="33" s="1"/>
  <c r="BP18" i="14"/>
  <c r="BL82" i="33"/>
  <c r="BN82" i="33" s="1"/>
  <c r="BP18" i="22"/>
  <c r="BL28" i="33"/>
  <c r="BN28" i="33" s="1"/>
  <c r="BP13" i="31"/>
  <c r="BL43" i="33"/>
  <c r="BN43" i="33" s="1"/>
  <c r="BP14" i="10"/>
  <c r="BE3" i="33"/>
  <c r="BQ3" i="33"/>
  <c r="M8" i="35"/>
  <c r="BL6" i="33"/>
  <c r="BN6" i="33" s="1"/>
  <c r="BM17" i="33"/>
  <c r="BC18" i="33"/>
  <c r="BP27" i="32"/>
  <c r="BR27" i="32" s="1"/>
  <c r="BM12" i="33"/>
  <c r="M14" i="35"/>
  <c r="M16" i="35"/>
  <c r="BF17" i="33"/>
  <c r="BP17" i="33"/>
  <c r="BC11" i="33"/>
  <c r="M2" i="35"/>
  <c r="BQ29" i="32"/>
  <c r="BS29" i="32" s="1"/>
  <c r="BM15" i="33"/>
  <c r="BR37" i="30"/>
  <c r="BQ37" i="30"/>
  <c r="BS16" i="23"/>
  <c r="BR13" i="30"/>
  <c r="BQ13" i="30"/>
  <c r="BQ15" i="15"/>
  <c r="BS15" i="15" s="1"/>
  <c r="BR21" i="11"/>
  <c r="BQ21" i="11"/>
  <c r="BS21" i="11" s="1"/>
  <c r="BP14" i="16"/>
  <c r="BR32" i="30"/>
  <c r="BQ32" i="30"/>
  <c r="BS32" i="30" s="1"/>
  <c r="BQ26" i="23"/>
  <c r="BS26" i="23" s="1"/>
  <c r="BQ24" i="18"/>
  <c r="BS24" i="18" s="1"/>
  <c r="BQ13" i="18"/>
  <c r="BS13" i="18" s="1"/>
  <c r="BQ32" i="15"/>
  <c r="BS32" i="15" s="1"/>
  <c r="BQ28" i="2"/>
  <c r="BS28" i="2" s="1"/>
  <c r="BQ27" i="23"/>
  <c r="BS27" i="23" s="1"/>
  <c r="M9" i="35"/>
  <c r="BP33" i="32"/>
  <c r="BR33" i="32" s="1"/>
  <c r="BS11" i="15"/>
  <c r="BQ23" i="2"/>
  <c r="BS23" i="2" s="1"/>
  <c r="BR23" i="2"/>
  <c r="BL177" i="33"/>
  <c r="BN177" i="33" s="1"/>
  <c r="BP15" i="16"/>
  <c r="BL18" i="33"/>
  <c r="BG5" i="33"/>
  <c r="BM5" i="33" s="1"/>
  <c r="BR5" i="33"/>
  <c r="BQ7" i="33"/>
  <c r="BE7" i="33"/>
  <c r="BL7" i="33" s="1"/>
  <c r="BR7" i="33"/>
  <c r="BG7" i="33"/>
  <c r="BM7" i="33" s="1"/>
  <c r="BP2" i="33"/>
  <c r="BY2" i="33" s="1"/>
  <c r="BZ2" i="33" s="1"/>
  <c r="BF2" i="33"/>
  <c r="BL2" i="33" s="1"/>
  <c r="BN2" i="33" s="1"/>
  <c r="BP8" i="33"/>
  <c r="BY8" i="33" s="1"/>
  <c r="BZ8" i="33" s="1"/>
  <c r="BF8" i="33"/>
  <c r="BQ8" i="33"/>
  <c r="BE8" i="33"/>
  <c r="BL8" i="33" s="1"/>
  <c r="BN8" i="33" s="1"/>
  <c r="BR11" i="33"/>
  <c r="BG11" i="33"/>
  <c r="BM11" i="33" s="1"/>
  <c r="BP25" i="32"/>
  <c r="BR25" i="32" s="1"/>
  <c r="BQ25" i="32"/>
  <c r="BS25" i="32" s="1"/>
  <c r="BG24" i="33"/>
  <c r="BM24" i="33" s="1"/>
  <c r="BN24" i="33" s="1"/>
  <c r="BR24" i="33"/>
  <c r="BY24" i="33" s="1"/>
  <c r="BZ24" i="33" s="1"/>
  <c r="BM14" i="33"/>
  <c r="BQ15" i="33"/>
  <c r="BY15" i="33" s="1"/>
  <c r="BZ15" i="33" s="1"/>
  <c r="BE15" i="33"/>
  <c r="BY25" i="33"/>
  <c r="BZ25" i="33" s="1"/>
  <c r="BC5" i="33"/>
  <c r="BP14" i="33"/>
  <c r="BY14" i="33" s="1"/>
  <c r="BZ14" i="33" s="1"/>
  <c r="BF14" i="33"/>
  <c r="BL14" i="33" s="1"/>
  <c r="BN14" i="33" s="1"/>
  <c r="BR16" i="33"/>
  <c r="BY16" i="33" s="1"/>
  <c r="BZ16" i="33" s="1"/>
  <c r="BG16" i="33"/>
  <c r="BM16" i="33" s="1"/>
  <c r="BQ17" i="33"/>
  <c r="BE17" i="33"/>
  <c r="BL17" i="33" s="1"/>
  <c r="BN17" i="33" s="1"/>
  <c r="BG18" i="33"/>
  <c r="BM18" i="33" s="1"/>
  <c r="BR18" i="33"/>
  <c r="BY18" i="33" s="1"/>
  <c r="BZ18" i="33" s="1"/>
  <c r="BG19" i="33"/>
  <c r="BM19" i="33" s="1"/>
  <c r="BR19" i="33"/>
  <c r="BY19" i="33" s="1"/>
  <c r="BZ19" i="33" s="1"/>
  <c r="BP35" i="32"/>
  <c r="BR35" i="32" s="1"/>
  <c r="BP21" i="32"/>
  <c r="BR21" i="32" s="1"/>
  <c r="BL20" i="33"/>
  <c r="BN20" i="33" s="1"/>
  <c r="BR34" i="30"/>
  <c r="BQ34" i="30"/>
  <c r="BS34" i="30" s="1"/>
  <c r="BR19" i="15"/>
  <c r="BQ19" i="15"/>
  <c r="BQ24" i="2"/>
  <c r="BR24" i="2"/>
  <c r="BN176" i="33"/>
  <c r="BQ36" i="18"/>
  <c r="BS36" i="18" s="1"/>
  <c r="BQ29" i="11"/>
  <c r="BS29" i="11" s="1"/>
  <c r="BR29" i="23"/>
  <c r="BQ29" i="23"/>
  <c r="BS29" i="23" s="1"/>
  <c r="BR38" i="18"/>
  <c r="BQ38" i="18"/>
  <c r="BS38" i="18" l="1"/>
  <c r="BS24" i="2"/>
  <c r="BQ35" i="32"/>
  <c r="BS35" i="32" s="1"/>
  <c r="BS37" i="30"/>
  <c r="BQ27" i="32"/>
  <c r="BS27" i="32" s="1"/>
  <c r="BL3" i="33"/>
  <c r="BN3" i="33" s="1"/>
  <c r="BS19" i="23"/>
  <c r="BS17" i="2"/>
  <c r="BN12" i="33"/>
  <c r="BY7" i="33"/>
  <c r="BZ7" i="33" s="1"/>
  <c r="BQ15" i="32"/>
  <c r="BS15" i="32" s="1"/>
  <c r="BN19" i="33"/>
  <c r="BQ11" i="32"/>
  <c r="BS11" i="32" s="1"/>
  <c r="BD15" i="33"/>
  <c r="BL15" i="33" s="1"/>
  <c r="BN15" i="33" s="1"/>
  <c r="BC15" i="33"/>
  <c r="BS19" i="15"/>
  <c r="BN7" i="33"/>
  <c r="BN18" i="33"/>
  <c r="BS13" i="30"/>
  <c r="BN16" i="33"/>
  <c r="BY10" i="33"/>
  <c r="BZ10" i="33" s="1"/>
  <c r="BN5" i="33"/>
  <c r="BY11" i="33"/>
  <c r="BZ11" i="33" s="1"/>
  <c r="BY5" i="33"/>
  <c r="BZ5" i="33" s="1"/>
  <c r="BN11" i="33"/>
  <c r="BQ33" i="32"/>
  <c r="BS33" i="32" s="1"/>
  <c r="BE10" i="33"/>
  <c r="BL10" i="33" s="1"/>
  <c r="BN10" i="33" s="1"/>
  <c r="BQ10" i="33"/>
  <c r="BC10" i="33"/>
  <c r="BD22" i="33"/>
  <c r="BL22" i="33" s="1"/>
  <c r="BN22" i="33" s="1"/>
  <c r="BC22" i="33"/>
  <c r="BQ21" i="32"/>
  <c r="BS21" i="32" s="1"/>
  <c r="BY17" i="33"/>
  <c r="BZ17" i="33" s="1"/>
  <c r="BY3" i="33"/>
  <c r="BZ3" i="33" s="1"/>
</calcChain>
</file>

<file path=xl/comments1.xml><?xml version="1.0" encoding="utf-8"?>
<comments xmlns="http://schemas.openxmlformats.org/spreadsheetml/2006/main">
  <authors>
    <author>内藤季和</author>
  </authors>
  <commentLis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内藤:タイマー設定ミスにより時間短縮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内藤:タイマー設定ミスにより時間延長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<sst xmlns="http://schemas.openxmlformats.org/spreadsheetml/2006/main" count="8166" uniqueCount="671">
  <si>
    <t>PM2.5成分分析結果</t>
    <rPh sb="5" eb="7">
      <t>セイブン</t>
    </rPh>
    <rPh sb="7" eb="9">
      <t>ブンセキ</t>
    </rPh>
    <rPh sb="9" eb="11">
      <t>ケッカ</t>
    </rPh>
    <phoneticPr fontId="2"/>
  </si>
  <si>
    <t>地点名</t>
    <rPh sb="0" eb="2">
      <t>チテン</t>
    </rPh>
    <rPh sb="2" eb="3">
      <t>メイ</t>
    </rPh>
    <phoneticPr fontId="2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</si>
  <si>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</si>
  <si>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質量濃度</t>
    <rPh sb="0" eb="2">
      <t>シツリョウ</t>
    </rPh>
    <rPh sb="2" eb="4">
      <t>ノウド</t>
    </rPh>
    <phoneticPr fontId="2"/>
  </si>
  <si>
    <t>イオン成分</t>
    <rPh sb="3" eb="5">
      <t>セイブン</t>
    </rPh>
    <phoneticPr fontId="2"/>
  </si>
  <si>
    <t>無機元素成分</t>
    <rPh sb="0" eb="2">
      <t>ムキ</t>
    </rPh>
    <rPh sb="2" eb="4">
      <t>ゲンソ</t>
    </rPh>
    <rPh sb="4" eb="6">
      <t>セイブン</t>
    </rPh>
    <phoneticPr fontId="2"/>
  </si>
  <si>
    <t>炭素成分</t>
    <rPh sb="0" eb="2">
      <t>タンソ</t>
    </rPh>
    <rPh sb="2" eb="4">
      <t>セイブン</t>
    </rPh>
    <phoneticPr fontId="2"/>
  </si>
  <si>
    <t>期間</t>
    <rPh sb="0" eb="2">
      <t>キカン</t>
    </rPh>
    <phoneticPr fontId="2"/>
  </si>
  <si>
    <t>PM2.5</t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</si>
  <si>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</si>
  <si>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</si>
  <si>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</si>
  <si>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</si>
  <si>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</si>
  <si>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</si>
  <si>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</si>
  <si>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</si>
  <si>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Na</t>
  </si>
  <si>
    <t>Al</t>
  </si>
  <si>
    <t>Si</t>
    <phoneticPr fontId="2"/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</si>
  <si>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</si>
  <si>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</si>
  <si>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</si>
  <si>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</si>
  <si>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</si>
  <si>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</si>
  <si>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</si>
  <si>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</si>
  <si>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</si>
  <si>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</si>
  <si>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</si>
  <si>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</si>
  <si>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</si>
  <si>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</si>
  <si>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</si>
  <si>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</si>
  <si>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</si>
  <si>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</si>
  <si>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</si>
  <si>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</si>
  <si>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Ce</t>
    <phoneticPr fontId="2"/>
  </si>
  <si>
    <t>Sm</t>
  </si>
  <si>
    <t>Hf</t>
    <phoneticPr fontId="2"/>
  </si>
  <si>
    <t>W</t>
    <phoneticPr fontId="2"/>
  </si>
  <si>
    <t>Ta</t>
    <phoneticPr fontId="2"/>
  </si>
  <si>
    <t>Th</t>
    <phoneticPr fontId="2"/>
  </si>
  <si>
    <t>Pb</t>
  </si>
  <si>
    <t>その他</t>
    <rPh sb="2" eb="3">
      <t>タ</t>
    </rPh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</si>
  <si>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</si>
  <si>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</si>
  <si>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</si>
  <si>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</si>
  <si>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Ocpyro</t>
    <phoneticPr fontId="2"/>
  </si>
  <si>
    <t>EC1</t>
    <phoneticPr fontId="2"/>
  </si>
  <si>
    <t>EC2</t>
    <phoneticPr fontId="2"/>
  </si>
  <si>
    <t>EC3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</si>
  <si>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</si>
  <si>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</si>
  <si>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</si>
  <si>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</si>
  <si>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</si>
  <si>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任</t>
    <rPh sb="0" eb="1">
      <t>ニン</t>
    </rPh>
    <phoneticPr fontId="2"/>
  </si>
  <si>
    <t>7/22～7/23</t>
    <phoneticPr fontId="2"/>
  </si>
  <si>
    <t>&lt;0.046</t>
  </si>
  <si>
    <t>－</t>
  </si>
  <si>
    <t>&lt;0.029</t>
  </si>
  <si>
    <t>&lt;0.12</t>
  </si>
  <si>
    <t>&lt;0.11</t>
  </si>
  <si>
    <t>&lt;0.20</t>
  </si>
  <si>
    <t>&lt;1.4</t>
  </si>
  <si>
    <t>&lt;0.079</t>
  </si>
  <si>
    <t>&lt;2.3</t>
  </si>
  <si>
    <t>&lt;0.038</t>
  </si>
  <si>
    <t>&lt;0.018</t>
  </si>
  <si>
    <t>&lt;0.035</t>
  </si>
  <si>
    <t>&lt;0.020</t>
  </si>
  <si>
    <t>&lt;0.040</t>
  </si>
  <si>
    <t>&lt;0.028</t>
  </si>
  <si>
    <t>7/23～7/24</t>
    <phoneticPr fontId="2"/>
  </si>
  <si>
    <t>&lt;0.19</t>
  </si>
  <si>
    <t>7/24～7/25</t>
    <phoneticPr fontId="2"/>
  </si>
  <si>
    <t>&lt;2.1</t>
  </si>
  <si>
    <t>7/25～7/26</t>
    <phoneticPr fontId="2"/>
  </si>
  <si>
    <t>7/26～7/27</t>
    <phoneticPr fontId="2"/>
  </si>
  <si>
    <t>コ</t>
    <phoneticPr fontId="2"/>
  </si>
  <si>
    <t>7/27～7/28</t>
    <phoneticPr fontId="2"/>
  </si>
  <si>
    <t>7/28～7/29</t>
    <phoneticPr fontId="2"/>
  </si>
  <si>
    <t>7/29～7/30</t>
    <phoneticPr fontId="2"/>
  </si>
  <si>
    <t>7/30～7/31</t>
    <phoneticPr fontId="2"/>
  </si>
  <si>
    <t>7/31～8/1</t>
    <phoneticPr fontId="2"/>
  </si>
  <si>
    <t>8/1～8/2</t>
    <phoneticPr fontId="2"/>
  </si>
  <si>
    <t>8/2～8/3</t>
    <phoneticPr fontId="2"/>
  </si>
  <si>
    <t>8/3～8/4</t>
    <phoneticPr fontId="2"/>
  </si>
  <si>
    <t>8/4～8/5</t>
    <phoneticPr fontId="2"/>
  </si>
  <si>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</si>
  <si>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</si>
  <si>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－</t>
    <phoneticPr fontId="2"/>
  </si>
  <si>
    <t>備考</t>
    <rPh sb="0" eb="2">
      <t>ビコウ</t>
    </rPh>
    <phoneticPr fontId="2"/>
  </si>
  <si>
    <t>※質量濃度は少数第1位（JIS丸め）、質量濃度以外の項目は有効数字2桁（JIS丸め）で入力してください。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2"/>
  </si>
  <si>
    <t>※欠測の場合は「zzz｣、検出下限値以上定量下限値未満はその値、検出下限値未満の場合は不等号「－」をつけて記入、分析を実施していない場合は「－」を記入してください。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</si>
  <si>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鴻巣</t>
    <rPh sb="0" eb="2">
      <t>コウノス</t>
    </rPh>
    <phoneticPr fontId="2"/>
  </si>
  <si>
    <t>平成2７年度関東SPM合同調査4段フィルターパック分析結果入力表（関東地方大気環境対策推進連絡会　浮遊粒子状物質調査会議）</t>
    <rPh sb="6" eb="8">
      <t>カントウ</t>
    </rPh>
    <rPh sb="25" eb="27">
      <t>ブンセキ</t>
    </rPh>
    <rPh sb="29" eb="31">
      <t>ニュウリョク</t>
    </rPh>
    <rPh sb="33" eb="35">
      <t>カントウ</t>
    </rPh>
    <rPh sb="35" eb="37">
      <t>チホウ</t>
    </rPh>
    <rPh sb="37" eb="39">
      <t>タイキ</t>
    </rPh>
    <rPh sb="39" eb="41">
      <t>カンキョウ</t>
    </rPh>
    <rPh sb="41" eb="43">
      <t>タイサク</t>
    </rPh>
    <rPh sb="43" eb="45">
      <t>スイシン</t>
    </rPh>
    <rPh sb="45" eb="48">
      <t>レンラクカイ</t>
    </rPh>
    <rPh sb="49" eb="51">
      <t>フユウ</t>
    </rPh>
    <rPh sb="51" eb="54">
      <t>リュウシジョウ</t>
    </rPh>
    <rPh sb="54" eb="56">
      <t>ブッシツ</t>
    </rPh>
    <rPh sb="56" eb="58">
      <t>チョウサ</t>
    </rPh>
    <rPh sb="58" eb="60">
      <t>カイギ</t>
    </rPh>
    <phoneticPr fontId="2"/>
  </si>
  <si>
    <t>平成２７年度関東SPM合同調査4段フィルターパック結果計算表（関東地方環境対策推進本部大気環境部会浮遊粒子状物質調査会議）</t>
    <rPh sb="6" eb="8">
      <t>カントウ</t>
    </rPh>
    <rPh sb="31" eb="33">
      <t>カントウ</t>
    </rPh>
    <rPh sb="33" eb="35">
      <t>チホウ</t>
    </rPh>
    <rPh sb="35" eb="37">
      <t>カンキョウ</t>
    </rPh>
    <rPh sb="37" eb="39">
      <t>タイサク</t>
    </rPh>
    <rPh sb="39" eb="41">
      <t>スイシン</t>
    </rPh>
    <rPh sb="41" eb="43">
      <t>ホンブ</t>
    </rPh>
    <rPh sb="43" eb="45">
      <t>タイキ</t>
    </rPh>
    <rPh sb="45" eb="47">
      <t>カンキョウ</t>
    </rPh>
    <rPh sb="47" eb="49">
      <t>ブカイ</t>
    </rPh>
    <rPh sb="49" eb="51">
      <t>フユウ</t>
    </rPh>
    <rPh sb="51" eb="54">
      <t>リュウシジョウ</t>
    </rPh>
    <rPh sb="54" eb="56">
      <t>ブッシツ</t>
    </rPh>
    <rPh sb="56" eb="58">
      <t>チョウサ</t>
    </rPh>
    <rPh sb="58" eb="60">
      <t>カイギ</t>
    </rPh>
    <phoneticPr fontId="2"/>
  </si>
  <si>
    <t>調査地点：</t>
    <rPh sb="0" eb="2">
      <t>チョウサ</t>
    </rPh>
    <rPh sb="2" eb="4">
      <t>チテン</t>
    </rPh>
    <phoneticPr fontId="2"/>
  </si>
  <si>
    <t>鴻巣</t>
    <rPh sb="0" eb="2">
      <t>コウノス</t>
    </rPh>
    <phoneticPr fontId="2"/>
  </si>
  <si>
    <t>調査機関：</t>
    <rPh sb="0" eb="2">
      <t>チョウサ</t>
    </rPh>
    <rPh sb="2" eb="4">
      <t>キカン</t>
    </rPh>
    <phoneticPr fontId="2"/>
  </si>
  <si>
    <t>環境科学国際センター</t>
    <rPh sb="0" eb="2">
      <t>カンキョウ</t>
    </rPh>
    <rPh sb="2" eb="4">
      <t>カガク</t>
    </rPh>
    <rPh sb="4" eb="6">
      <t>コクサイ</t>
    </rPh>
    <phoneticPr fontId="2"/>
  </si>
  <si>
    <t>担当者：</t>
    <rPh sb="0" eb="3">
      <t>タントウシャ</t>
    </rPh>
    <phoneticPr fontId="2"/>
  </si>
  <si>
    <t>米持</t>
    <rPh sb="0" eb="2">
      <t>ヨネモチ</t>
    </rPh>
    <phoneticPr fontId="2"/>
  </si>
  <si>
    <t>：入力セル</t>
    <rPh sb="1" eb="3">
      <t>ニュウリョク</t>
    </rPh>
    <phoneticPr fontId="2"/>
  </si>
  <si>
    <t>単位：</t>
    <rPh sb="0" eb="2">
      <t>タンイ</t>
    </rPh>
    <phoneticPr fontId="2"/>
  </si>
  <si>
    <r>
      <t>nmol/m</t>
    </r>
    <r>
      <rPr>
        <vertAlign val="superscript"/>
        <sz val="10"/>
        <rFont val="Times New Roman"/>
        <family val="1"/>
      </rPr>
      <t>3</t>
    </r>
    <phoneticPr fontId="2"/>
  </si>
  <si>
    <r>
      <t>*</t>
    </r>
    <r>
      <rPr>
        <sz val="10"/>
        <rFont val="ＭＳ Ｐ明朝"/>
        <family val="1"/>
        <charset val="128"/>
      </rPr>
      <t>計算式は抽出液量</t>
    </r>
    <r>
      <rPr>
        <sz val="10"/>
        <color indexed="10"/>
        <rFont val="Times New Roman"/>
        <family val="1"/>
      </rPr>
      <t>20mL</t>
    </r>
    <r>
      <rPr>
        <sz val="10"/>
        <rFont val="ＭＳ Ｐ明朝"/>
        <family val="1"/>
        <charset val="128"/>
      </rPr>
      <t>です。適宜変更願います。</t>
    </r>
    <rPh sb="1" eb="4">
      <t>ケイサンシキ</t>
    </rPh>
    <rPh sb="5" eb="8">
      <t>チュウシュツエキ</t>
    </rPh>
    <rPh sb="8" eb="9">
      <t>リョウ</t>
    </rPh>
    <rPh sb="16" eb="18">
      <t>テキギ</t>
    </rPh>
    <rPh sb="18" eb="20">
      <t>ヘンコウ</t>
    </rPh>
    <rPh sb="20" eb="21">
      <t>ネガ</t>
    </rPh>
    <phoneticPr fontId="2"/>
  </si>
  <si>
    <r>
      <t>イオンバランスの検定表</t>
    </r>
    <r>
      <rPr>
        <b/>
        <sz val="11"/>
        <color indexed="10"/>
        <rFont val="ＭＳ Ｐゴシック"/>
        <family val="3"/>
        <charset val="128"/>
      </rPr>
      <t>(報告は不要です）</t>
    </r>
    <rPh sb="8" eb="10">
      <t>ケンテイ</t>
    </rPh>
    <rPh sb="10" eb="11">
      <t>ヒョウ</t>
    </rPh>
    <phoneticPr fontId="2"/>
  </si>
  <si>
    <t>サンプリング期間</t>
    <rPh sb="6" eb="8">
      <t>キカン</t>
    </rPh>
    <phoneticPr fontId="2"/>
  </si>
  <si>
    <t>流量</t>
    <rPh sb="0" eb="2">
      <t>リュウリョウ</t>
    </rPh>
    <phoneticPr fontId="2"/>
  </si>
  <si>
    <r>
      <t>F0_</t>
    </r>
    <r>
      <rPr>
        <sz val="10"/>
        <rFont val="ＭＳ Ｐ明朝"/>
        <family val="1"/>
        <charset val="128"/>
      </rPr>
      <t>テフロンろ紙</t>
    </r>
    <r>
      <rPr>
        <sz val="10"/>
        <rFont val="Times New Roman"/>
        <family val="1"/>
      </rPr>
      <t>(mg/L)</t>
    </r>
    <rPh sb="8" eb="9">
      <t>シ</t>
    </rPh>
    <phoneticPr fontId="2"/>
  </si>
  <si>
    <r>
      <t>F1_</t>
    </r>
    <r>
      <rPr>
        <sz val="10"/>
        <rFont val="ＭＳ Ｐ明朝"/>
        <family val="1"/>
        <charset val="128"/>
      </rPr>
      <t>ポリアミドろ紙</t>
    </r>
    <r>
      <rPr>
        <sz val="10"/>
        <rFont val="Times New Roman"/>
        <family val="1"/>
      </rPr>
      <t>(mg/L)</t>
    </r>
    <rPh sb="9" eb="10">
      <t>シ</t>
    </rPh>
    <phoneticPr fontId="2"/>
  </si>
  <si>
    <r>
      <t>F2_</t>
    </r>
    <r>
      <rPr>
        <sz val="10"/>
        <rFont val="ＭＳ Ｐ明朝"/>
        <family val="1"/>
        <charset val="128"/>
      </rPr>
      <t>炭酸カリウム含浸ろ紙</t>
    </r>
    <r>
      <rPr>
        <sz val="10"/>
        <rFont val="Times New Roman"/>
        <family val="1"/>
      </rPr>
      <t>(mg/L)</t>
    </r>
    <rPh sb="3" eb="5">
      <t>タンサン</t>
    </rPh>
    <rPh sb="9" eb="10">
      <t>ガン</t>
    </rPh>
    <rPh sb="10" eb="11">
      <t>シン</t>
    </rPh>
    <rPh sb="12" eb="13">
      <t>シ</t>
    </rPh>
    <phoneticPr fontId="2"/>
  </si>
  <si>
    <r>
      <t>F3_</t>
    </r>
    <r>
      <rPr>
        <sz val="10"/>
        <rFont val="ＭＳ Ｐ明朝"/>
        <family val="1"/>
        <charset val="128"/>
      </rPr>
      <t>リン酸</t>
    </r>
    <r>
      <rPr>
        <sz val="10"/>
        <rFont val="Times New Roman"/>
        <family val="1"/>
      </rPr>
      <t>(mg/L)</t>
    </r>
    <rPh sb="5" eb="6">
      <t>サン</t>
    </rPh>
    <phoneticPr fontId="2"/>
  </si>
  <si>
    <t>ガス</t>
    <phoneticPr fontId="2"/>
  </si>
  <si>
    <t>粒子</t>
    <rPh sb="0" eb="2">
      <t>リュウシ</t>
    </rPh>
    <phoneticPr fontId="2"/>
  </si>
  <si>
    <t>粒子　(ueq/L)</t>
    <rPh sb="0" eb="2">
      <t>リュウシ</t>
    </rPh>
    <phoneticPr fontId="2"/>
  </si>
  <si>
    <t>調査期間</t>
    <rPh sb="0" eb="2">
      <t>チョウサ</t>
    </rPh>
    <rPh sb="2" eb="4">
      <t>キカン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</si>
  <si>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</si>
  <si>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</si>
  <si>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平均気温</t>
    <rPh sb="0" eb="2">
      <t>ヘイキン</t>
    </rPh>
    <rPh sb="2" eb="4">
      <t>キオン</t>
    </rPh>
    <phoneticPr fontId="2"/>
  </si>
  <si>
    <t>総流量</t>
    <rPh sb="0" eb="3">
      <t>ソウリュウリョウ</t>
    </rPh>
    <phoneticPr fontId="2"/>
  </si>
  <si>
    <t>補正値</t>
    <rPh sb="0" eb="3">
      <t>ホセイチ</t>
    </rPh>
    <phoneticPr fontId="2"/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</si>
  <si>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2"/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</si>
  <si>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  <phoneticPr fontId="2"/>
  </si>
  <si>
    <r>
      <t>Cl</t>
    </r>
    <r>
      <rPr>
        <vertAlign val="superscript"/>
        <sz val="10"/>
        <rFont val="Times New Roman"/>
        <family val="1"/>
      </rPr>
      <t>-</t>
    </r>
    <phoneticPr fontId="2"/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</si>
  <si>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  <phoneticPr fontId="2"/>
  </si>
  <si>
    <r>
      <t>Na</t>
    </r>
    <r>
      <rPr>
        <vertAlign val="superscript"/>
        <sz val="10"/>
        <rFont val="Times New Roman"/>
        <family val="1"/>
      </rPr>
      <t>+</t>
    </r>
    <phoneticPr fontId="2"/>
  </si>
  <si>
    <r>
      <t>K</t>
    </r>
    <r>
      <rPr>
        <vertAlign val="superscript"/>
        <sz val="10"/>
        <rFont val="Times New Roman"/>
        <family val="1"/>
      </rPr>
      <t>+</t>
    </r>
    <phoneticPr fontId="2"/>
  </si>
  <si>
    <r>
      <t>Mg</t>
    </r>
    <r>
      <rPr>
        <vertAlign val="superscript"/>
        <sz val="10"/>
        <rFont val="Times New Roman"/>
        <family val="1"/>
      </rPr>
      <t>+</t>
    </r>
    <phoneticPr fontId="2"/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</si>
  <si>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  <phoneticPr fontId="2"/>
  </si>
  <si>
    <t>試料番号</t>
    <rPh sb="0" eb="2">
      <t>シリョウ</t>
    </rPh>
    <rPh sb="2" eb="4">
      <t>バンゴウ</t>
    </rPh>
    <phoneticPr fontId="2"/>
  </si>
  <si>
    <r>
      <t>SO</t>
    </r>
    <r>
      <rPr>
        <vertAlign val="subscript"/>
        <sz val="10"/>
        <rFont val="Times New Roman"/>
        <family val="1"/>
      </rPr>
      <t>2</t>
    </r>
    <phoneticPr fontId="2"/>
  </si>
  <si>
    <r>
      <t>HNO</t>
    </r>
    <r>
      <rPr>
        <vertAlign val="subscript"/>
        <sz val="10"/>
        <rFont val="Times New Roman"/>
        <family val="1"/>
      </rPr>
      <t>3</t>
    </r>
    <phoneticPr fontId="2"/>
  </si>
  <si>
    <t>HCl</t>
    <phoneticPr fontId="2"/>
  </si>
  <si>
    <r>
      <t>NH</t>
    </r>
    <r>
      <rPr>
        <vertAlign val="subscript"/>
        <sz val="10"/>
        <rFont val="Times New Roman"/>
        <family val="1"/>
      </rPr>
      <t>3</t>
    </r>
    <phoneticPr fontId="2"/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</si>
  <si>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2"/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</si>
  <si>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  <phoneticPr fontId="2"/>
  </si>
  <si>
    <r>
      <t>Cl</t>
    </r>
    <r>
      <rPr>
        <vertAlign val="superscript"/>
        <sz val="10"/>
        <rFont val="Times New Roman"/>
        <family val="1"/>
      </rPr>
      <t>-</t>
    </r>
    <phoneticPr fontId="2"/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</si>
  <si>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  <phoneticPr fontId="2"/>
  </si>
  <si>
    <r>
      <t>Na</t>
    </r>
    <r>
      <rPr>
        <vertAlign val="superscript"/>
        <sz val="10"/>
        <rFont val="Times New Roman"/>
        <family val="1"/>
      </rPr>
      <t>+</t>
    </r>
    <phoneticPr fontId="2"/>
  </si>
  <si>
    <r>
      <t>K</t>
    </r>
    <r>
      <rPr>
        <vertAlign val="superscript"/>
        <sz val="10"/>
        <rFont val="Times New Roman"/>
        <family val="1"/>
      </rPr>
      <t>+</t>
    </r>
    <phoneticPr fontId="2"/>
  </si>
  <si>
    <r>
      <t>Mg</t>
    </r>
    <r>
      <rPr>
        <vertAlign val="superscript"/>
        <sz val="10"/>
        <rFont val="Times New Roman"/>
        <family val="1"/>
      </rPr>
      <t>2+</t>
    </r>
    <phoneticPr fontId="2"/>
  </si>
  <si>
    <r>
      <t>Ca</t>
    </r>
    <r>
      <rPr>
        <vertAlign val="superscript"/>
        <sz val="10"/>
        <rFont val="Times New Roman"/>
        <family val="1"/>
      </rPr>
      <t>2+</t>
    </r>
    <phoneticPr fontId="2"/>
  </si>
  <si>
    <r>
      <t>Mg</t>
    </r>
    <r>
      <rPr>
        <vertAlign val="superscript"/>
        <sz val="10"/>
        <rFont val="Times New Roman"/>
        <family val="1"/>
      </rPr>
      <t>2+</t>
    </r>
    <phoneticPr fontId="2"/>
  </si>
  <si>
    <t>Anion</t>
    <phoneticPr fontId="2"/>
  </si>
  <si>
    <t>Cation</t>
    <phoneticPr fontId="2"/>
  </si>
  <si>
    <t>Total</t>
    <phoneticPr fontId="2"/>
  </si>
  <si>
    <t>R1</t>
    <phoneticPr fontId="2"/>
  </si>
  <si>
    <r>
      <t>R1</t>
    </r>
    <r>
      <rPr>
        <sz val="10"/>
        <rFont val="ＭＳ Ｐ明朝"/>
        <family val="1"/>
        <charset val="128"/>
      </rPr>
      <t>基準</t>
    </r>
    <rPh sb="2" eb="4">
      <t>キジュン</t>
    </rPh>
    <phoneticPr fontId="2"/>
  </si>
  <si>
    <t>判定</t>
    <rPh sb="0" eb="2">
      <t>ハンテイ</t>
    </rPh>
    <phoneticPr fontId="2"/>
  </si>
  <si>
    <t>年月日</t>
    <rPh sb="0" eb="3">
      <t>ネンガッピ</t>
    </rPh>
    <phoneticPr fontId="2"/>
  </si>
  <si>
    <t>時刻</t>
    <rPh sb="0" eb="2">
      <t>ジコク</t>
    </rPh>
    <phoneticPr fontId="2"/>
  </si>
  <si>
    <r>
      <t>(</t>
    </r>
    <r>
      <rPr>
        <sz val="10"/>
        <rFont val="ＭＳ Ｐゴシック"/>
        <family val="3"/>
        <charset val="128"/>
      </rPr>
      <t>℃</t>
    </r>
    <r>
      <rPr>
        <sz val="10"/>
        <rFont val="Times New Roman"/>
        <family val="1"/>
      </rPr>
      <t>)</t>
    </r>
    <phoneticPr fontId="2"/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</si>
  <si>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phoneticPr fontId="2"/>
  </si>
  <si>
    <t>サンプル</t>
    <phoneticPr fontId="2"/>
  </si>
  <si>
    <t>ブランク</t>
    <phoneticPr fontId="2"/>
  </si>
  <si>
    <t>Date</t>
    <phoneticPr fontId="2"/>
  </si>
  <si>
    <t>Time</t>
    <phoneticPr fontId="2"/>
  </si>
  <si>
    <t>PM2.5</t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</si>
  <si>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</si>
  <si>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</si>
  <si>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</si>
  <si>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</si>
  <si>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</si>
  <si>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</si>
  <si>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</si>
  <si>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</si>
  <si>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Si</t>
    <phoneticPr fontId="2"/>
  </si>
  <si>
    <t>Ce</t>
    <phoneticPr fontId="2"/>
  </si>
  <si>
    <t>Hf</t>
    <phoneticPr fontId="2"/>
  </si>
  <si>
    <t>W</t>
    <phoneticPr fontId="2"/>
  </si>
  <si>
    <t>Ta</t>
    <phoneticPr fontId="2"/>
  </si>
  <si>
    <t>Th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</si>
  <si>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</si>
  <si>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</si>
  <si>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</si>
  <si>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</si>
  <si>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Ocpyro</t>
    <phoneticPr fontId="2"/>
  </si>
  <si>
    <t>EC1</t>
    <phoneticPr fontId="2"/>
  </si>
  <si>
    <t>EC2</t>
    <phoneticPr fontId="2"/>
  </si>
  <si>
    <t>EC3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</si>
  <si>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</si>
  <si>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</si>
  <si>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</si>
  <si>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</si>
  <si>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</si>
  <si>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7/22～7/23</t>
    <phoneticPr fontId="2"/>
  </si>
  <si>
    <t>&lt;2.5</t>
  </si>
  <si>
    <t>&lt;5.7</t>
  </si>
  <si>
    <t>&lt;4.3</t>
  </si>
  <si>
    <t>&lt;0.097</t>
  </si>
  <si>
    <t>&lt;0.077</t>
  </si>
  <si>
    <t>7/23～7/24</t>
    <phoneticPr fontId="2"/>
  </si>
  <si>
    <t>7/24～7/25</t>
    <phoneticPr fontId="2"/>
  </si>
  <si>
    <t>7/26～7/27</t>
    <phoneticPr fontId="2"/>
  </si>
  <si>
    <t>コ</t>
    <phoneticPr fontId="2"/>
  </si>
  <si>
    <t>7/27～7/28</t>
    <phoneticPr fontId="2"/>
  </si>
  <si>
    <t>7/28～7/29</t>
    <phoneticPr fontId="2"/>
  </si>
  <si>
    <t>7/29～7/30</t>
    <phoneticPr fontId="2"/>
  </si>
  <si>
    <t>7/30～7/31</t>
    <phoneticPr fontId="2"/>
  </si>
  <si>
    <t>7/31～8/1</t>
    <phoneticPr fontId="2"/>
  </si>
  <si>
    <t>8/1～8/2</t>
    <phoneticPr fontId="2"/>
  </si>
  <si>
    <t>8/2～8/3</t>
    <phoneticPr fontId="2"/>
  </si>
  <si>
    <t>8/4～8/5</t>
    <phoneticPr fontId="2"/>
  </si>
  <si>
    <t>&lt;0.00063</t>
  </si>
  <si>
    <t>&lt;0.0053</t>
  </si>
  <si>
    <t>幸手</t>
    <rPh sb="0" eb="2">
      <t>サッテ</t>
    </rPh>
    <phoneticPr fontId="2"/>
  </si>
  <si>
    <t>大宮測定局</t>
    <rPh sb="0" eb="2">
      <t>オオミヤ</t>
    </rPh>
    <rPh sb="2" eb="5">
      <t>ソクテイキョク</t>
    </rPh>
    <phoneticPr fontId="2"/>
  </si>
  <si>
    <t>Cd</t>
    <phoneticPr fontId="2"/>
  </si>
  <si>
    <t>(ng/m3)</t>
  </si>
  <si>
    <t>&lt;0.18</t>
  </si>
  <si>
    <t>&lt;0.72</t>
  </si>
  <si>
    <t>&lt;0.10</t>
  </si>
  <si>
    <t>&lt;0.15</t>
  </si>
  <si>
    <t>&lt;0.0083</t>
  </si>
  <si>
    <t>&lt;0.013</t>
  </si>
  <si>
    <t>&lt;0.054</t>
  </si>
  <si>
    <t>&lt;0.0022</t>
  </si>
  <si>
    <t>&lt;0.0082</t>
  </si>
  <si>
    <t>&lt;0.0040</t>
  </si>
  <si>
    <t>※欠測の場合は「zzz｣、検出下限値以上定量下限値未満はその値、検出下限値未満の場合は不等号「&lt;」をつけて記入、分析を実施していない場合は「－」を記入してください。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</si>
  <si>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真岡市役所</t>
    <rPh sb="0" eb="5">
      <t>モオカシヤクショ</t>
    </rPh>
    <phoneticPr fontId="2"/>
  </si>
  <si>
    <t>Be</t>
    <phoneticPr fontId="2"/>
  </si>
  <si>
    <t>&lt;0.022</t>
  </si>
  <si>
    <t>&lt;5.0</t>
    <phoneticPr fontId="2"/>
  </si>
  <si>
    <t>-</t>
  </si>
  <si>
    <t>&lt;14</t>
  </si>
  <si>
    <t>&lt;0.10</t>
    <phoneticPr fontId="2"/>
  </si>
  <si>
    <t>&lt;1.7</t>
  </si>
  <si>
    <t>&lt;0.41</t>
  </si>
  <si>
    <t>&lt;37</t>
  </si>
  <si>
    <t>&lt;0.092</t>
  </si>
  <si>
    <t>&lt;3.5</t>
  </si>
  <si>
    <t>&lt;0.57</t>
  </si>
  <si>
    <t>&lt;0.33</t>
  </si>
  <si>
    <t>&lt;0.23</t>
  </si>
  <si>
    <t>&lt;0.096</t>
  </si>
  <si>
    <t>&lt;0.37</t>
  </si>
  <si>
    <t>&lt;0.28</t>
  </si>
  <si>
    <t>&lt;0.13</t>
  </si>
  <si>
    <t>&lt;0.085</t>
  </si>
  <si>
    <t>&lt;0.0049</t>
  </si>
  <si>
    <t>&lt;0.10</t>
    <phoneticPr fontId="2"/>
  </si>
  <si>
    <t>&lt;0.024</t>
  </si>
  <si>
    <t>&lt;0.17</t>
  </si>
  <si>
    <t>足立区綾瀬</t>
    <rPh sb="0" eb="3">
      <t>アダチク</t>
    </rPh>
    <rPh sb="3" eb="5">
      <t>アヤセ</t>
    </rPh>
    <phoneticPr fontId="2"/>
  </si>
  <si>
    <t>&lt;0.03</t>
  </si>
  <si>
    <t>&lt;0.2</t>
  </si>
  <si>
    <t>&lt;0.09</t>
  </si>
  <si>
    <t>&lt;0.05</t>
  </si>
  <si>
    <t>&lt;0.04</t>
  </si>
  <si>
    <t>&lt;0.07</t>
  </si>
  <si>
    <t>&lt;0.02</t>
  </si>
  <si>
    <t>&lt;0.9</t>
  </si>
  <si>
    <t>足立区綾瀬</t>
    <rPh sb="0" eb="3">
      <t>アダチク</t>
    </rPh>
    <rPh sb="3" eb="5">
      <t>アヤセ</t>
    </rPh>
    <phoneticPr fontId="2"/>
  </si>
  <si>
    <t>東京都環境科学研究所</t>
    <rPh sb="0" eb="3">
      <t>トウキョウト</t>
    </rPh>
    <rPh sb="3" eb="5">
      <t>カンキョウ</t>
    </rPh>
    <rPh sb="5" eb="7">
      <t>カガク</t>
    </rPh>
    <rPh sb="7" eb="9">
      <t>ケンキュウ</t>
    </rPh>
    <rPh sb="9" eb="10">
      <t>ジョ</t>
    </rPh>
    <phoneticPr fontId="2"/>
  </si>
  <si>
    <t>秋山</t>
    <rPh sb="0" eb="2">
      <t>アキヤマ</t>
    </rPh>
    <phoneticPr fontId="2"/>
  </si>
  <si>
    <r>
      <t>Mg</t>
    </r>
    <r>
      <rPr>
        <vertAlign val="superscript"/>
        <sz val="10"/>
        <rFont val="Times New Roman"/>
        <family val="1"/>
      </rPr>
      <t>+</t>
    </r>
    <phoneticPr fontId="2"/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</si>
  <si>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  <phoneticPr fontId="2"/>
  </si>
  <si>
    <r>
      <t>Ca</t>
    </r>
    <r>
      <rPr>
        <vertAlign val="superscript"/>
        <sz val="10"/>
        <rFont val="Times New Roman"/>
        <family val="1"/>
      </rPr>
      <t>2+</t>
    </r>
    <phoneticPr fontId="2"/>
  </si>
  <si>
    <t>Anion</t>
    <phoneticPr fontId="2"/>
  </si>
  <si>
    <t>Cation</t>
    <phoneticPr fontId="2"/>
  </si>
  <si>
    <t>Total</t>
    <phoneticPr fontId="2"/>
  </si>
  <si>
    <t>R1</t>
    <phoneticPr fontId="2"/>
  </si>
  <si>
    <r>
      <t>(</t>
    </r>
    <r>
      <rPr>
        <sz val="10"/>
        <rFont val="ＭＳ Ｐゴシック"/>
        <family val="3"/>
        <charset val="128"/>
      </rPr>
      <t>℃</t>
    </r>
    <r>
      <rPr>
        <sz val="10"/>
        <rFont val="Times New Roman"/>
        <family val="1"/>
      </rPr>
      <t>)</t>
    </r>
    <phoneticPr fontId="2"/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</si>
  <si>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phoneticPr fontId="2"/>
  </si>
  <si>
    <t>サンプル</t>
    <phoneticPr fontId="2"/>
  </si>
  <si>
    <t>ブランク</t>
    <phoneticPr fontId="2"/>
  </si>
  <si>
    <t>Date</t>
    <phoneticPr fontId="2"/>
  </si>
  <si>
    <t>Time</t>
    <phoneticPr fontId="2"/>
  </si>
  <si>
    <t>＜3.1</t>
  </si>
  <si>
    <r>
      <rPr>
        <sz val="10"/>
        <rFont val="ＭＳ Ｐ明朝"/>
        <family val="1"/>
        <charset val="128"/>
      </rPr>
      <t>＜</t>
    </r>
    <r>
      <rPr>
        <sz val="10"/>
        <rFont val="Times New Roman"/>
        <family val="1"/>
      </rPr>
      <t>1.4</t>
    </r>
    <phoneticPr fontId="2"/>
  </si>
  <si>
    <r>
      <rPr>
        <sz val="10"/>
        <rFont val="ＭＳ Ｐ明朝"/>
        <family val="1"/>
        <charset val="128"/>
      </rPr>
      <t>＜</t>
    </r>
    <r>
      <rPr>
        <sz val="10"/>
        <rFont val="Times New Roman"/>
        <family val="1"/>
      </rPr>
      <t>3.1</t>
    </r>
    <phoneticPr fontId="2"/>
  </si>
  <si>
    <t>多摩市愛宕</t>
    <rPh sb="0" eb="3">
      <t>タマシ</t>
    </rPh>
    <rPh sb="3" eb="5">
      <t>アタゴ</t>
    </rPh>
    <phoneticPr fontId="2"/>
  </si>
  <si>
    <t>北部測定局</t>
    <phoneticPr fontId="2"/>
  </si>
  <si>
    <t>-</t>
    <phoneticPr fontId="2"/>
  </si>
  <si>
    <t>-</t>
    <phoneticPr fontId="2"/>
  </si>
  <si>
    <t>前橋</t>
    <rPh sb="0" eb="2">
      <t>マエバシ</t>
    </rPh>
    <phoneticPr fontId="2"/>
  </si>
  <si>
    <t>&lt;0.016</t>
  </si>
  <si>
    <t>&lt;0.0096</t>
  </si>
  <si>
    <t>&lt;0.015</t>
  </si>
  <si>
    <t>&lt;21</t>
  </si>
  <si>
    <t>&lt;170</t>
  </si>
  <si>
    <t>zzz</t>
  </si>
  <si>
    <t>&lt;1.1</t>
  </si>
  <si>
    <t>&lt;0.023</t>
  </si>
  <si>
    <t>&lt;0.025</t>
  </si>
  <si>
    <t>&lt;0.051</t>
  </si>
  <si>
    <t>&lt;0.017</t>
  </si>
  <si>
    <t>&lt;55</t>
  </si>
  <si>
    <t>&lt;8.5</t>
  </si>
  <si>
    <t>&lt;0.012</t>
  </si>
  <si>
    <t>&lt;24</t>
  </si>
  <si>
    <t>&lt;0.85</t>
  </si>
  <si>
    <t>&lt;0.94</t>
  </si>
  <si>
    <t>&lt;4</t>
  </si>
  <si>
    <t>&lt;0.063</t>
  </si>
  <si>
    <t>&lt;0.55</t>
  </si>
  <si>
    <t>&lt;0.084</t>
  </si>
  <si>
    <t>&lt;0.0019</t>
  </si>
  <si>
    <t>平成27年度関東SPM合同調査4段フィルターパック結果計算表（関東地方環境対策推進本部大気環境部会浮遊粒子状物質調査会議）</t>
    <rPh sb="6" eb="8">
      <t>カントウ</t>
    </rPh>
    <rPh sb="31" eb="33">
      <t>カントウ</t>
    </rPh>
    <rPh sb="33" eb="35">
      <t>チホウ</t>
    </rPh>
    <rPh sb="35" eb="37">
      <t>カンキョウ</t>
    </rPh>
    <rPh sb="37" eb="39">
      <t>タイサク</t>
    </rPh>
    <rPh sb="39" eb="41">
      <t>スイシン</t>
    </rPh>
    <rPh sb="41" eb="43">
      <t>ホンブ</t>
    </rPh>
    <rPh sb="43" eb="45">
      <t>タイキ</t>
    </rPh>
    <rPh sb="45" eb="47">
      <t>カンキョウ</t>
    </rPh>
    <rPh sb="47" eb="49">
      <t>ブカイ</t>
    </rPh>
    <rPh sb="49" eb="51">
      <t>フユウ</t>
    </rPh>
    <rPh sb="51" eb="54">
      <t>リュウシジョウ</t>
    </rPh>
    <rPh sb="54" eb="56">
      <t>ブッシツ</t>
    </rPh>
    <rPh sb="56" eb="58">
      <t>チョウサ</t>
    </rPh>
    <rPh sb="58" eb="60">
      <t>カイギ</t>
    </rPh>
    <phoneticPr fontId="2"/>
  </si>
  <si>
    <t>前橋</t>
    <rPh sb="0" eb="2">
      <t>マエバシ</t>
    </rPh>
    <phoneticPr fontId="2"/>
  </si>
  <si>
    <t>群馬県衛生環境研究所</t>
    <rPh sb="0" eb="3">
      <t>グンマケン</t>
    </rPh>
    <rPh sb="3" eb="5">
      <t>エイセイ</t>
    </rPh>
    <rPh sb="5" eb="7">
      <t>カンキョウ</t>
    </rPh>
    <rPh sb="7" eb="10">
      <t>ケンキュウジョ</t>
    </rPh>
    <phoneticPr fontId="2"/>
  </si>
  <si>
    <t>田子</t>
    <rPh sb="0" eb="2">
      <t>タゴ</t>
    </rPh>
    <phoneticPr fontId="2"/>
  </si>
  <si>
    <t>15M06</t>
  </si>
  <si>
    <t>15M07</t>
  </si>
  <si>
    <t>15M08</t>
  </si>
  <si>
    <t>15M09</t>
  </si>
  <si>
    <t>15M10</t>
  </si>
  <si>
    <t>15M11</t>
  </si>
  <si>
    <t>15M12</t>
  </si>
  <si>
    <t>15M13</t>
  </si>
  <si>
    <t>15M14</t>
  </si>
  <si>
    <t>館林</t>
    <rPh sb="0" eb="2">
      <t>タテバヤシ</t>
    </rPh>
    <phoneticPr fontId="2"/>
  </si>
  <si>
    <t>吉田</t>
    <rPh sb="0" eb="2">
      <t>ヨシダ</t>
    </rPh>
    <phoneticPr fontId="2"/>
  </si>
  <si>
    <t>3.5</t>
  </si>
  <si>
    <t>&lt;0.031</t>
  </si>
  <si>
    <t>&lt;0.0063</t>
  </si>
  <si>
    <t>&lt;10</t>
  </si>
  <si>
    <t>27</t>
  </si>
  <si>
    <t>&lt;25</t>
  </si>
  <si>
    <t>&lt;0.0092</t>
  </si>
  <si>
    <t>0.16</t>
  </si>
  <si>
    <t>&lt;0.52</t>
  </si>
  <si>
    <t>0.014</t>
  </si>
  <si>
    <t>&lt;8.0</t>
  </si>
  <si>
    <t>&lt;0.014</t>
  </si>
  <si>
    <t>0.022</t>
  </si>
  <si>
    <t>&lt;0.0060</t>
  </si>
  <si>
    <t>&lt;0.011</t>
  </si>
  <si>
    <t>&lt;0.00092</t>
  </si>
  <si>
    <t>&lt;0.0014</t>
  </si>
  <si>
    <t>&lt;0.00082</t>
  </si>
  <si>
    <t>&lt;0.032</t>
  </si>
  <si>
    <t>0.40</t>
  </si>
  <si>
    <t>0.15</t>
  </si>
  <si>
    <t>0.13</t>
  </si>
  <si>
    <t>0.17</t>
  </si>
  <si>
    <t>0.030</t>
  </si>
  <si>
    <t>0.18</t>
  </si>
  <si>
    <t>&lt;3.9</t>
  </si>
  <si>
    <t>&lt;0.0052</t>
  </si>
  <si>
    <t>14</t>
  </si>
  <si>
    <t>0.51</t>
  </si>
  <si>
    <t>0.35</t>
  </si>
  <si>
    <t>0.028</t>
  </si>
  <si>
    <t>12</t>
  </si>
  <si>
    <t>1.8</t>
  </si>
  <si>
    <t>0.14</t>
  </si>
  <si>
    <t>0.12</t>
  </si>
  <si>
    <t>0.46</t>
  </si>
  <si>
    <t>1.3</t>
  </si>
  <si>
    <t>0.039</t>
  </si>
  <si>
    <t>26</t>
  </si>
  <si>
    <t>32</t>
  </si>
  <si>
    <t>0.011</t>
  </si>
  <si>
    <t>10</t>
  </si>
  <si>
    <t>1.7</t>
  </si>
  <si>
    <t>25</t>
  </si>
  <si>
    <t>0.38</t>
  </si>
  <si>
    <t>0.036</t>
  </si>
  <si>
    <t>0.26</t>
  </si>
  <si>
    <t>0.048</t>
  </si>
  <si>
    <t>0.047</t>
  </si>
  <si>
    <t>1.9</t>
  </si>
  <si>
    <t>0.032</t>
  </si>
  <si>
    <t>19</t>
  </si>
  <si>
    <t>0.017</t>
  </si>
  <si>
    <t>0.020</t>
  </si>
  <si>
    <t>0.018</t>
  </si>
  <si>
    <t>0.024</t>
  </si>
  <si>
    <t>&lt;7.4</t>
  </si>
  <si>
    <t>3.0</t>
  </si>
  <si>
    <t>2.5</t>
  </si>
  <si>
    <t>0.055</t>
  </si>
  <si>
    <t>0.037</t>
  </si>
  <si>
    <t>0.042</t>
  </si>
  <si>
    <t>0.045</t>
  </si>
  <si>
    <t>0.052</t>
  </si>
  <si>
    <t>0.060</t>
  </si>
  <si>
    <t>3.9</t>
  </si>
  <si>
    <t>0.60</t>
  </si>
  <si>
    <t>13</t>
  </si>
  <si>
    <t>0.22</t>
  </si>
  <si>
    <t>0.038</t>
  </si>
  <si>
    <t>8.3</t>
  </si>
  <si>
    <t>0.24</t>
  </si>
  <si>
    <t>6.3</t>
  </si>
  <si>
    <t>46</t>
  </si>
  <si>
    <t>0.19</t>
  </si>
  <si>
    <t>0.0010</t>
  </si>
  <si>
    <t>48</t>
  </si>
  <si>
    <t>0.72</t>
  </si>
  <si>
    <t>0.033</t>
  </si>
  <si>
    <t>0.52</t>
  </si>
  <si>
    <t>7.4</t>
  </si>
  <si>
    <t>0.0092</t>
  </si>
  <si>
    <t>0.0052</t>
  </si>
  <si>
    <t>0.11</t>
  </si>
  <si>
    <t>8.0</t>
  </si>
  <si>
    <t>0.013</t>
  </si>
  <si>
    <t>0.010</t>
  </si>
  <si>
    <t>0.0060</t>
  </si>
  <si>
    <t>0.059</t>
  </si>
  <si>
    <t>0.012</t>
  </si>
  <si>
    <t>0.00092</t>
  </si>
  <si>
    <t>0.0014</t>
  </si>
  <si>
    <t>0.00082</t>
  </si>
  <si>
    <t>0.072</t>
  </si>
  <si>
    <t>0.050</t>
  </si>
  <si>
    <t>0.00031</t>
  </si>
  <si>
    <t>0.016</t>
  </si>
  <si>
    <t>82</t>
  </si>
  <si>
    <t>0.082</t>
  </si>
  <si>
    <t>0.37</t>
  </si>
  <si>
    <t>0.043</t>
  </si>
  <si>
    <t>0.076</t>
  </si>
  <si>
    <t>0.20</t>
  </si>
  <si>
    <t>0.040</t>
  </si>
  <si>
    <t>0.0030</t>
  </si>
  <si>
    <t>0.092</t>
  </si>
  <si>
    <t>0.0048</t>
  </si>
  <si>
    <t>0.0028</t>
  </si>
  <si>
    <t>甲府</t>
    <rPh sb="0" eb="2">
      <t>コウフ</t>
    </rPh>
    <phoneticPr fontId="2"/>
  </si>
  <si>
    <t>&lt;0.039</t>
  </si>
  <si>
    <t>5.8</t>
  </si>
  <si>
    <t>&lt;26</t>
  </si>
  <si>
    <t>&lt;0.40</t>
  </si>
  <si>
    <t>0.025</t>
  </si>
  <si>
    <t>&lt;12</t>
  </si>
  <si>
    <t>0.026</t>
  </si>
  <si>
    <t>0.068</t>
  </si>
  <si>
    <t>3.4</t>
  </si>
  <si>
    <t>0.0020</t>
  </si>
  <si>
    <t>0.044</t>
  </si>
  <si>
    <t>0.090</t>
  </si>
  <si>
    <t>0.041</t>
  </si>
  <si>
    <t>0.080</t>
  </si>
  <si>
    <t>0.095</t>
  </si>
  <si>
    <t>0.00027</t>
  </si>
  <si>
    <t>0.029</t>
  </si>
  <si>
    <t>39</t>
  </si>
  <si>
    <t>42</t>
  </si>
  <si>
    <t>83</t>
  </si>
  <si>
    <t>0.0046</t>
  </si>
  <si>
    <t>0.32</t>
  </si>
  <si>
    <t>0.00090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</si>
  <si>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2"/>
  </si>
  <si>
    <t>担当者：</t>
    <rPh sb="0" eb="3">
      <t>タントウシャ</t>
    </rPh>
    <phoneticPr fontId="22"/>
  </si>
  <si>
    <t>大橋　泰浩</t>
    <rPh sb="0" eb="2">
      <t>オオハシ</t>
    </rPh>
    <rPh sb="3" eb="5">
      <t>ヤスヒロ</t>
    </rPh>
    <phoneticPr fontId="22"/>
  </si>
  <si>
    <t>-</t>
    <phoneticPr fontId="2"/>
  </si>
  <si>
    <t>湖西市役所</t>
    <phoneticPr fontId="2"/>
  </si>
  <si>
    <t>&lt;0.067</t>
  </si>
  <si>
    <t>&lt;20</t>
  </si>
  <si>
    <t>&lt;0.60</t>
  </si>
  <si>
    <t>&lt;0.0057</t>
  </si>
  <si>
    <t>&lt;0.0018</t>
  </si>
  <si>
    <t>&lt;0.0015</t>
  </si>
  <si>
    <t>&lt;0.053</t>
  </si>
  <si>
    <t>&lt;0.32</t>
  </si>
  <si>
    <t>&lt;0.010</t>
  </si>
  <si>
    <t>&lt;33</t>
  </si>
  <si>
    <t>&lt;0.48</t>
  </si>
  <si>
    <t>&lt;0.027</t>
  </si>
  <si>
    <t>&lt;0.065</t>
  </si>
  <si>
    <t>救急医療センター</t>
    <phoneticPr fontId="2"/>
  </si>
  <si>
    <t>&lt;4.8</t>
  </si>
  <si>
    <t>&lt;7.0</t>
  </si>
  <si>
    <t>&lt;0.0011</t>
  </si>
  <si>
    <t>&lt;0.31</t>
  </si>
  <si>
    <t>&lt;0.048</t>
  </si>
  <si>
    <t>&lt;0.056</t>
  </si>
  <si>
    <t>富士</t>
    <rPh sb="0" eb="2">
      <t>フジ</t>
    </rPh>
    <phoneticPr fontId="2"/>
  </si>
  <si>
    <t>静岡県</t>
    <rPh sb="0" eb="3">
      <t>シズオカケン</t>
    </rPh>
    <phoneticPr fontId="2"/>
  </si>
  <si>
    <t>本間</t>
    <rPh sb="0" eb="2">
      <t>ホンマ</t>
    </rPh>
    <phoneticPr fontId="2"/>
  </si>
  <si>
    <t>大和市役所</t>
    <rPh sb="0" eb="2">
      <t>ヤマト</t>
    </rPh>
    <rPh sb="2" eb="5">
      <t>シヤクショ</t>
    </rPh>
    <phoneticPr fontId="2"/>
  </si>
  <si>
    <t>&lt;0.081</t>
  </si>
  <si>
    <t>&lt;43</t>
  </si>
  <si>
    <t>&lt;66</t>
  </si>
  <si>
    <t>&lt;0.26</t>
  </si>
  <si>
    <t>&lt;0.43</t>
  </si>
  <si>
    <t>&lt;13</t>
  </si>
  <si>
    <t>&lt;0.7</t>
  </si>
  <si>
    <t>&lt;0.66</t>
  </si>
  <si>
    <t>&lt;0.77</t>
  </si>
  <si>
    <t>&lt;0.34</t>
  </si>
  <si>
    <t>&lt;0.51</t>
  </si>
  <si>
    <t>&lt;0.44</t>
  </si>
  <si>
    <t>&lt;0.14</t>
  </si>
  <si>
    <t>&lt;0.057</t>
  </si>
  <si>
    <t>&lt;0.64</t>
  </si>
  <si>
    <t>&lt;0.67</t>
  </si>
  <si>
    <t>千城台北小学校</t>
    <phoneticPr fontId="2"/>
  </si>
  <si>
    <t>&lt;0.0079</t>
  </si>
  <si>
    <t>&lt;1.8</t>
  </si>
  <si>
    <t>&lt;0.88</t>
  </si>
  <si>
    <t>&lt;0.21</t>
  </si>
  <si>
    <t>&lt;0.043</t>
  </si>
  <si>
    <t>&lt;0.049</t>
  </si>
  <si>
    <t>&lt;0.45</t>
  </si>
  <si>
    <t>服織小学校</t>
    <phoneticPr fontId="2"/>
  </si>
  <si>
    <t>0.39</t>
  </si>
  <si>
    <t>0.41</t>
  </si>
  <si>
    <t>0.21</t>
  </si>
  <si>
    <t>0.36</t>
  </si>
  <si>
    <t>0.49</t>
  </si>
  <si>
    <t>7.7</t>
  </si>
  <si>
    <t>0.0068</t>
  </si>
  <si>
    <t>0.0016</t>
  </si>
  <si>
    <t>0.0018</t>
  </si>
  <si>
    <t>0.0040</t>
  </si>
  <si>
    <t>0.062</t>
  </si>
  <si>
    <t>0.078</t>
  </si>
  <si>
    <t>0.00026</t>
  </si>
  <si>
    <t>0.0061</t>
  </si>
  <si>
    <t>0.0067</t>
  </si>
  <si>
    <t>0.0033</t>
  </si>
  <si>
    <t>0.00085</t>
  </si>
  <si>
    <t>市原</t>
    <rPh sb="0" eb="2">
      <t>イチハラ</t>
    </rPh>
    <phoneticPr fontId="2"/>
  </si>
  <si>
    <t>&lt;0.099</t>
  </si>
  <si>
    <t>&lt;0.1</t>
  </si>
  <si>
    <t>&lt;0.58</t>
  </si>
  <si>
    <t>&lt;0.16</t>
  </si>
  <si>
    <t>&lt;0.06</t>
  </si>
  <si>
    <t>&lt;0.01</t>
  </si>
  <si>
    <t>&lt;5.8</t>
  </si>
  <si>
    <t>市原</t>
    <rPh sb="0" eb="2">
      <t>イチハラ</t>
    </rPh>
    <phoneticPr fontId="2"/>
  </si>
  <si>
    <t>千葉県</t>
    <rPh sb="0" eb="3">
      <t>チバケン</t>
    </rPh>
    <phoneticPr fontId="2"/>
  </si>
  <si>
    <t>内藤</t>
    <rPh sb="0" eb="2">
      <t>ナイトウ</t>
    </rPh>
    <phoneticPr fontId="2"/>
  </si>
  <si>
    <r>
      <t>*</t>
    </r>
    <r>
      <rPr>
        <sz val="10"/>
        <rFont val="ＭＳ Ｐ明朝"/>
        <family val="1"/>
        <charset val="128"/>
      </rPr>
      <t>計算式は抽出液量</t>
    </r>
    <r>
      <rPr>
        <sz val="10"/>
        <color indexed="36"/>
        <rFont val="Times New Roman"/>
        <family val="1"/>
      </rPr>
      <t>10mL</t>
    </r>
    <r>
      <rPr>
        <sz val="10"/>
        <rFont val="ＭＳ Ｐ明朝"/>
        <family val="1"/>
        <charset val="128"/>
      </rPr>
      <t>です。適宜変更願います。</t>
    </r>
    <rPh sb="1" eb="4">
      <t>ケイサンシキ</t>
    </rPh>
    <rPh sb="5" eb="8">
      <t>チュウシュツエキ</t>
    </rPh>
    <rPh sb="8" eb="9">
      <t>リョウ</t>
    </rPh>
    <rPh sb="16" eb="18">
      <t>テキギ</t>
    </rPh>
    <rPh sb="18" eb="20">
      <t>ヘンコウ</t>
    </rPh>
    <rPh sb="20" eb="21">
      <t>ネガ</t>
    </rPh>
    <phoneticPr fontId="2"/>
  </si>
  <si>
    <t>5-</t>
    <phoneticPr fontId="2"/>
  </si>
  <si>
    <t>6+</t>
    <phoneticPr fontId="2"/>
  </si>
  <si>
    <t>富津</t>
    <rPh sb="0" eb="2">
      <t>フッツ</t>
    </rPh>
    <phoneticPr fontId="2"/>
  </si>
  <si>
    <t>&lt;0.99</t>
  </si>
  <si>
    <t>&lt;0.068</t>
  </si>
  <si>
    <t>&lt;0.036</t>
  </si>
  <si>
    <t>&lt;2.7</t>
  </si>
  <si>
    <t>勝浦</t>
    <rPh sb="0" eb="2">
      <t>カツウラ</t>
    </rPh>
    <phoneticPr fontId="2"/>
  </si>
  <si>
    <t>&lt;0.044</t>
  </si>
  <si>
    <t>&lt;0.0093</t>
  </si>
  <si>
    <t>&lt;0.87</t>
  </si>
  <si>
    <t>&lt;0.0038</t>
  </si>
  <si>
    <t>&lt;0.075</t>
  </si>
  <si>
    <t>&lt;0.095</t>
  </si>
  <si>
    <t>相模原市役所</t>
    <rPh sb="0" eb="3">
      <t>サガミハラ</t>
    </rPh>
    <rPh sb="3" eb="6">
      <t>シヤクショ</t>
    </rPh>
    <phoneticPr fontId="2"/>
  </si>
  <si>
    <t>&lt;0.026</t>
  </si>
  <si>
    <t>＊</t>
    <phoneticPr fontId="2"/>
  </si>
  <si>
    <t>*別紙参照</t>
    <rPh sb="1" eb="3">
      <t>ベッシ</t>
    </rPh>
    <rPh sb="3" eb="5">
      <t>サンショウ</t>
    </rPh>
    <phoneticPr fontId="2"/>
  </si>
  <si>
    <t>&lt;6.6</t>
  </si>
  <si>
    <t>&lt;9.4</t>
  </si>
  <si>
    <t>&lt;3.3</t>
  </si>
  <si>
    <t>&lt;17</t>
  </si>
  <si>
    <t>&lt;0.89</t>
  </si>
  <si>
    <t>川崎</t>
    <rPh sb="0" eb="2">
      <t>カワサキ</t>
    </rPh>
    <phoneticPr fontId="2"/>
  </si>
  <si>
    <t>&lt;0.0078</t>
  </si>
  <si>
    <t>長野県環境保全研究所</t>
    <phoneticPr fontId="2"/>
  </si>
  <si>
    <r>
      <t>Cd(ng/m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</si>
  <si>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&lt;27</t>
  </si>
  <si>
    <t>&lt;3.6</t>
  </si>
  <si>
    <t>&lt;0.058</t>
  </si>
  <si>
    <t>&lt;16</t>
  </si>
  <si>
    <t>&lt;0.0073</t>
  </si>
  <si>
    <t>長野県環境保全研究所</t>
    <rPh sb="0" eb="3">
      <t>ナガノケン</t>
    </rPh>
    <rPh sb="3" eb="10">
      <t>カンホケン</t>
    </rPh>
    <phoneticPr fontId="2"/>
  </si>
  <si>
    <t>花岡良信</t>
    <rPh sb="0" eb="2">
      <t>ハナオカ</t>
    </rPh>
    <rPh sb="2" eb="4">
      <t>ヨシノブ</t>
    </rPh>
    <phoneticPr fontId="2"/>
  </si>
  <si>
    <t>土浦</t>
    <rPh sb="0" eb="2">
      <t>ツチウラ</t>
    </rPh>
    <phoneticPr fontId="2"/>
  </si>
  <si>
    <t>&lt;38</t>
  </si>
  <si>
    <t>&lt;0.84</t>
  </si>
  <si>
    <t>&lt;0.62</t>
  </si>
  <si>
    <t>&lt;7.5</t>
  </si>
  <si>
    <t>&lt;0.22</t>
  </si>
  <si>
    <t>&lt;15</t>
  </si>
  <si>
    <t>&lt;0.56</t>
  </si>
  <si>
    <t>&lt;0.0034</t>
  </si>
  <si>
    <t>&lt;0.019</t>
  </si>
  <si>
    <t>&lt;0.0069</t>
  </si>
  <si>
    <t>&lt;0.074</t>
  </si>
  <si>
    <t>&lt;0.002</t>
  </si>
  <si>
    <t>&lt;0.088</t>
  </si>
  <si>
    <t>＊7／22～７／２３、７／２３～７／２４のイオン成分再測定による検出下限値(上段)及び定量下限値（下段）</t>
    <rPh sb="24" eb="26">
      <t>セイブン</t>
    </rPh>
    <rPh sb="26" eb="27">
      <t>サイ</t>
    </rPh>
    <rPh sb="27" eb="29">
      <t>ソクテイ</t>
    </rPh>
    <rPh sb="32" eb="34">
      <t>ケンシュツ</t>
    </rPh>
    <rPh sb="34" eb="37">
      <t>カゲンチ</t>
    </rPh>
    <rPh sb="38" eb="40">
      <t>ジョウダン</t>
    </rPh>
    <rPh sb="41" eb="42">
      <t>オヨ</t>
    </rPh>
    <rPh sb="43" eb="45">
      <t>テイリョウ</t>
    </rPh>
    <rPh sb="45" eb="48">
      <t>カゲンチ</t>
    </rPh>
    <rPh sb="49" eb="51">
      <t>ゲダン</t>
    </rPh>
    <phoneticPr fontId="2"/>
  </si>
  <si>
    <t>＊7／22～７／２３、７／２５～７／２６、７／３０～７／３１のWSOC再測定による検出下限値(上段)及び定量下限値（下段）</t>
    <rPh sb="35" eb="36">
      <t>サイ</t>
    </rPh>
    <rPh sb="36" eb="38">
      <t>ソクテイ</t>
    </rPh>
    <rPh sb="41" eb="43">
      <t>ケンシュツ</t>
    </rPh>
    <rPh sb="43" eb="46">
      <t>カゲンチ</t>
    </rPh>
    <rPh sb="47" eb="49">
      <t>ジョウダン</t>
    </rPh>
    <rPh sb="50" eb="51">
      <t>オヨ</t>
    </rPh>
    <rPh sb="52" eb="54">
      <t>テイリョウ</t>
    </rPh>
    <rPh sb="54" eb="57">
      <t>カゲンチ</t>
    </rPh>
    <rPh sb="58" eb="60">
      <t>ゲダン</t>
    </rPh>
    <phoneticPr fontId="2"/>
  </si>
  <si>
    <t>土浦</t>
    <rPh sb="0" eb="2">
      <t>ツチウラ</t>
    </rPh>
    <phoneticPr fontId="2"/>
  </si>
  <si>
    <t>茨城県霞ケ浦環境科学センター</t>
    <rPh sb="0" eb="3">
      <t>イバラキケン</t>
    </rPh>
    <rPh sb="3" eb="10">
      <t>カスミガウラカンキョウカガク</t>
    </rPh>
    <phoneticPr fontId="2"/>
  </si>
  <si>
    <t>北見</t>
    <rPh sb="0" eb="2">
      <t>キタミ</t>
    </rPh>
    <phoneticPr fontId="2"/>
  </si>
  <si>
    <t>抽出液量：20ｍL</t>
    <rPh sb="0" eb="3">
      <t>チュウシュツエキ</t>
    </rPh>
    <rPh sb="3" eb="4">
      <t>リョウ</t>
    </rPh>
    <phoneticPr fontId="2"/>
  </si>
  <si>
    <t>コア期間平均</t>
    <rPh sb="2" eb="4">
      <t>キカン</t>
    </rPh>
    <rPh sb="4" eb="6">
      <t>ヘイキン</t>
    </rPh>
    <phoneticPr fontId="2"/>
  </si>
  <si>
    <t>全期間平均</t>
    <rPh sb="0" eb="3">
      <t>ゼンキカン</t>
    </rPh>
    <rPh sb="3" eb="5">
      <t>ヘイキン</t>
    </rPh>
    <phoneticPr fontId="2"/>
  </si>
  <si>
    <t>横浜</t>
  </si>
  <si>
    <t>真岡</t>
    <rPh sb="0" eb="2">
      <t>モオカ</t>
    </rPh>
    <phoneticPr fontId="2"/>
  </si>
  <si>
    <t>さいたま</t>
    <phoneticPr fontId="2"/>
  </si>
  <si>
    <t>千葉</t>
    <rPh sb="0" eb="2">
      <t>チバ</t>
    </rPh>
    <phoneticPr fontId="2"/>
  </si>
  <si>
    <t>綾瀬</t>
    <rPh sb="0" eb="2">
      <t>アヤセ</t>
    </rPh>
    <phoneticPr fontId="2"/>
  </si>
  <si>
    <t>多摩</t>
    <rPh sb="0" eb="2">
      <t>タマ</t>
    </rPh>
    <phoneticPr fontId="2"/>
  </si>
  <si>
    <t>大和</t>
    <rPh sb="0" eb="2">
      <t>ヤマト</t>
    </rPh>
    <phoneticPr fontId="2"/>
  </si>
  <si>
    <t>横浜</t>
    <rPh sb="0" eb="2">
      <t>ヨコハマ</t>
    </rPh>
    <phoneticPr fontId="2"/>
  </si>
  <si>
    <t>相模原</t>
    <rPh sb="0" eb="3">
      <t>サガミハラ</t>
    </rPh>
    <phoneticPr fontId="2"/>
  </si>
  <si>
    <t>長野</t>
    <rPh sb="0" eb="2">
      <t>ナガノ</t>
    </rPh>
    <phoneticPr fontId="2"/>
  </si>
  <si>
    <t>富士</t>
    <rPh sb="0" eb="2">
      <t>フジ</t>
    </rPh>
    <phoneticPr fontId="2"/>
  </si>
  <si>
    <t>湖西</t>
    <rPh sb="0" eb="2">
      <t>コサイ</t>
    </rPh>
    <phoneticPr fontId="2"/>
  </si>
  <si>
    <t>静岡</t>
    <rPh sb="0" eb="2">
      <t>シズオカ</t>
    </rPh>
    <phoneticPr fontId="2"/>
  </si>
  <si>
    <t>浜松</t>
    <rPh sb="0" eb="2">
      <t>ハママツ</t>
    </rPh>
    <phoneticPr fontId="2"/>
  </si>
  <si>
    <t>Cd</t>
    <phoneticPr fontId="2"/>
  </si>
  <si>
    <t>EC</t>
    <phoneticPr fontId="2"/>
  </si>
  <si>
    <t>Cl-</t>
  </si>
  <si>
    <t>NO3-</t>
  </si>
  <si>
    <t>SO42-</t>
  </si>
  <si>
    <t>Na+</t>
  </si>
  <si>
    <t>NH4+</t>
  </si>
  <si>
    <t>K+</t>
  </si>
  <si>
    <t>Mg2+</t>
  </si>
  <si>
    <t>Ca2+</t>
  </si>
  <si>
    <t>Cation</t>
    <phoneticPr fontId="2"/>
  </si>
  <si>
    <t>Al</t>
    <phoneticPr fontId="2"/>
  </si>
  <si>
    <t>Ca</t>
    <phoneticPr fontId="2"/>
  </si>
  <si>
    <t>Fe</t>
    <phoneticPr fontId="2"/>
  </si>
  <si>
    <t>Ti</t>
    <phoneticPr fontId="2"/>
  </si>
  <si>
    <t>Sum</t>
    <phoneticPr fontId="2"/>
  </si>
  <si>
    <t>Mass</t>
    <phoneticPr fontId="2"/>
  </si>
  <si>
    <t>Mass closure</t>
    <phoneticPr fontId="2"/>
  </si>
  <si>
    <t>Ion balance</t>
    <phoneticPr fontId="2"/>
  </si>
  <si>
    <t>A/C</t>
    <phoneticPr fontId="2"/>
  </si>
  <si>
    <t>neq/m3</t>
    <phoneticPr fontId="2"/>
  </si>
  <si>
    <t>7/22～7/23</t>
  </si>
  <si>
    <t>7/23～7/24</t>
  </si>
  <si>
    <t>7/24～7/25</t>
  </si>
  <si>
    <t>7/25～7/26</t>
  </si>
  <si>
    <t>7/26～7/27</t>
  </si>
  <si>
    <t>7/27～7/28</t>
  </si>
  <si>
    <t>7/28～7/29</t>
  </si>
  <si>
    <t>7/29～7/30</t>
  </si>
  <si>
    <t>7/30～7/31</t>
  </si>
  <si>
    <t>7/31～8/1</t>
  </si>
  <si>
    <t>8/1～8/2</t>
  </si>
  <si>
    <t>8/2～8/3</t>
  </si>
  <si>
    <t>8/3～8/4</t>
  </si>
  <si>
    <t>8/4～8/5</t>
  </si>
  <si>
    <t>任</t>
    <rPh sb="0" eb="1">
      <t>ニン</t>
    </rPh>
    <phoneticPr fontId="4"/>
  </si>
  <si>
    <t>コ</t>
  </si>
  <si>
    <t>&lt;0.4</t>
  </si>
  <si>
    <t>&lt;0.86</t>
  </si>
  <si>
    <t>&lt;3.4</t>
  </si>
  <si>
    <t>&lt;0.0010</t>
  </si>
  <si>
    <t>&lt;0.0016</t>
  </si>
  <si>
    <t>&lt;0.0028</t>
  </si>
  <si>
    <t>&lt;0.052</t>
  </si>
  <si>
    <t>&lt;0.0086</t>
  </si>
  <si>
    <t>&lt;0.0094</t>
  </si>
  <si>
    <t>&lt;0.0095</t>
  </si>
  <si>
    <t>&lt;31</t>
  </si>
  <si>
    <t>&lt;2.9</t>
  </si>
  <si>
    <t>&lt;1.3</t>
  </si>
  <si>
    <t>&lt;0.0017</t>
  </si>
  <si>
    <t>&lt;0.055</t>
  </si>
  <si>
    <t>&lt;0.0024</t>
  </si>
  <si>
    <t>A/C</t>
    <phoneticPr fontId="2"/>
  </si>
  <si>
    <t>others</t>
    <phoneticPr fontId="2"/>
  </si>
  <si>
    <t>OC/TC</t>
  </si>
  <si>
    <t>OC/TC</t>
    <phoneticPr fontId="2"/>
  </si>
  <si>
    <t>WSOC/OC</t>
  </si>
  <si>
    <t>WSOC/OC</t>
    <phoneticPr fontId="2"/>
  </si>
  <si>
    <t>char-EC</t>
  </si>
  <si>
    <t>char-EC</t>
    <phoneticPr fontId="2"/>
  </si>
  <si>
    <t>soot-EC</t>
  </si>
  <si>
    <t>soot-EC</t>
    <phoneticPr fontId="2"/>
  </si>
  <si>
    <t>Ox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</si>
</sst>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0_);[Red]&quot;¥&quot;&quot;¥&quot;\(0&quot;¥&quot;&quot;¥&quot;\)"/>
    <numFmt numFmtId="177" formatCode="0.00_);[Red]&quot;¥&quot;&quot;¥&quot;\(0.00&quot;¥&quot;&quot;¥&quot;\)"/>
    <numFmt numFmtId="178" formatCode="0.00_ "/>
    <numFmt numFmtId="179" formatCode="h:mm;@"/>
    <numFmt numFmtId="180" formatCode="0.0_);[Red]&quot;¥&quot;&quot;¥&quot;\(0.0&quot;¥&quot;&quot;¥&quot;\)"/>
    <numFmt numFmtId="181" formatCode="0.0_ "/>
    <numFmt numFmtId="182" formatCode="0_ "/>
    <numFmt numFmtId="183" formatCode="0.0000"/>
    <numFmt numFmtId="184" formatCode="0.000"/>
    <numFmt numFmtId="185" formatCode="0.0"/>
    <numFmt numFmtId="186" formatCode="0.0E+00"/>
    <numFmt numFmtId="187" formatCode="0.000_ "/>
    <numFmt numFmtId="188" formatCode="0.0000_ "/>
    <numFmt numFmtId="189" formatCode="0.00000"/>
    <numFmt numFmtId="190" formatCode="0.00_);[Red]\(0.00\)"/>
    <numFmt numFmtId="191" formatCode="0.000_);[Red]\(0.000\)"/>
    <numFmt numFmtId="192" formatCode="0_);[Red]\(0\)"/>
    <numFmt numFmtId="193" formatCode="0.0_);[Red]\(0.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sz val="10"/>
      <name val="MS UI Gothic"/>
      <family val="3"/>
      <charset val="128"/>
    </font>
    <font>
      <b/>
      <sz val="11"/>
      <name val="ＭＳ Ｐ明朝"/>
      <family val="1"/>
      <charset val="12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vertAlign val="subscript"/>
      <sz val="10"/>
      <name val="Times New Roman"/>
      <family val="1"/>
    </font>
    <font>
      <sz val="10"/>
      <color indexed="57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0"/>
      <color indexed="36"/>
      <name val="Times New Roman"/>
      <family val="1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8">
    <xf numFmtId="0" fontId="0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9" borderId="108" applyNumberFormat="0" applyAlignment="0" applyProtection="0">
      <alignment vertical="center"/>
    </xf>
    <xf numFmtId="0" fontId="29" fillId="29" borderId="108" applyNumberFormat="0" applyAlignment="0" applyProtection="0">
      <alignment vertical="center"/>
    </xf>
    <xf numFmtId="0" fontId="29" fillId="29" borderId="108" applyNumberFormat="0" applyAlignment="0" applyProtection="0">
      <alignment vertical="center"/>
    </xf>
    <xf numFmtId="0" fontId="29" fillId="29" borderId="108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31" borderId="109" applyNumberFormat="0" applyFont="0" applyAlignment="0" applyProtection="0">
      <alignment vertical="center"/>
    </xf>
    <xf numFmtId="0" fontId="26" fillId="31" borderId="109" applyNumberFormat="0" applyFont="0" applyAlignment="0" applyProtection="0">
      <alignment vertical="center"/>
    </xf>
    <xf numFmtId="0" fontId="26" fillId="31" borderId="109" applyNumberFormat="0" applyFont="0" applyAlignment="0" applyProtection="0">
      <alignment vertical="center"/>
    </xf>
    <xf numFmtId="0" fontId="26" fillId="31" borderId="109" applyNumberFormat="0" applyFont="0" applyAlignment="0" applyProtection="0">
      <alignment vertical="center"/>
    </xf>
    <xf numFmtId="0" fontId="31" fillId="0" borderId="110" applyNumberFormat="0" applyFill="0" applyAlignment="0" applyProtection="0">
      <alignment vertical="center"/>
    </xf>
    <xf numFmtId="0" fontId="31" fillId="0" borderId="110" applyNumberFormat="0" applyFill="0" applyAlignment="0" applyProtection="0">
      <alignment vertical="center"/>
    </xf>
    <xf numFmtId="0" fontId="31" fillId="0" borderId="110" applyNumberFormat="0" applyFill="0" applyAlignment="0" applyProtection="0">
      <alignment vertical="center"/>
    </xf>
    <xf numFmtId="0" fontId="31" fillId="0" borderId="1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111" applyNumberFormat="0" applyAlignment="0" applyProtection="0">
      <alignment vertical="center"/>
    </xf>
    <xf numFmtId="0" fontId="33" fillId="33" borderId="111" applyNumberFormat="0" applyAlignment="0" applyProtection="0">
      <alignment vertical="center"/>
    </xf>
    <xf numFmtId="0" fontId="33" fillId="33" borderId="111" applyNumberFormat="0" applyAlignment="0" applyProtection="0">
      <alignment vertical="center"/>
    </xf>
    <xf numFmtId="0" fontId="33" fillId="33" borderId="1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5" fillId="0" borderId="112" applyNumberFormat="0" applyFill="0" applyAlignment="0" applyProtection="0">
      <alignment vertical="center"/>
    </xf>
    <xf numFmtId="0" fontId="35" fillId="0" borderId="112" applyNumberFormat="0" applyFill="0" applyAlignment="0" applyProtection="0">
      <alignment vertical="center"/>
    </xf>
    <xf numFmtId="0" fontId="35" fillId="0" borderId="112" applyNumberFormat="0" applyFill="0" applyAlignment="0" applyProtection="0">
      <alignment vertical="center"/>
    </xf>
    <xf numFmtId="0" fontId="35" fillId="0" borderId="112" applyNumberFormat="0" applyFill="0" applyAlignment="0" applyProtection="0">
      <alignment vertical="center"/>
    </xf>
    <xf numFmtId="0" fontId="36" fillId="0" borderId="113" applyNumberFormat="0" applyFill="0" applyAlignment="0" applyProtection="0">
      <alignment vertical="center"/>
    </xf>
    <xf numFmtId="0" fontId="36" fillId="0" borderId="113" applyNumberFormat="0" applyFill="0" applyAlignment="0" applyProtection="0">
      <alignment vertical="center"/>
    </xf>
    <xf numFmtId="0" fontId="36" fillId="0" borderId="113" applyNumberFormat="0" applyFill="0" applyAlignment="0" applyProtection="0">
      <alignment vertical="center"/>
    </xf>
    <xf numFmtId="0" fontId="36" fillId="0" borderId="113" applyNumberFormat="0" applyFill="0" applyAlignment="0" applyProtection="0">
      <alignment vertical="center"/>
    </xf>
    <xf numFmtId="0" fontId="37" fillId="0" borderId="114" applyNumberFormat="0" applyFill="0" applyAlignment="0" applyProtection="0">
      <alignment vertical="center"/>
    </xf>
    <xf numFmtId="0" fontId="37" fillId="0" borderId="114" applyNumberFormat="0" applyFill="0" applyAlignment="0" applyProtection="0">
      <alignment vertical="center"/>
    </xf>
    <xf numFmtId="0" fontId="37" fillId="0" borderId="114" applyNumberFormat="0" applyFill="0" applyAlignment="0" applyProtection="0">
      <alignment vertical="center"/>
    </xf>
    <xf numFmtId="0" fontId="37" fillId="0" borderId="1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15" applyNumberFormat="0" applyFill="0" applyAlignment="0" applyProtection="0">
      <alignment vertical="center"/>
    </xf>
    <xf numFmtId="0" fontId="38" fillId="0" borderId="115" applyNumberFormat="0" applyFill="0" applyAlignment="0" applyProtection="0">
      <alignment vertical="center"/>
    </xf>
    <xf numFmtId="0" fontId="38" fillId="0" borderId="115" applyNumberFormat="0" applyFill="0" applyAlignment="0" applyProtection="0">
      <alignment vertical="center"/>
    </xf>
    <xf numFmtId="0" fontId="38" fillId="0" borderId="115" applyNumberFormat="0" applyFill="0" applyAlignment="0" applyProtection="0">
      <alignment vertical="center"/>
    </xf>
    <xf numFmtId="0" fontId="39" fillId="33" borderId="116" applyNumberFormat="0" applyAlignment="0" applyProtection="0">
      <alignment vertical="center"/>
    </xf>
    <xf numFmtId="0" fontId="39" fillId="33" borderId="116" applyNumberFormat="0" applyAlignment="0" applyProtection="0">
      <alignment vertical="center"/>
    </xf>
    <xf numFmtId="0" fontId="39" fillId="33" borderId="116" applyNumberFormat="0" applyAlignment="0" applyProtection="0">
      <alignment vertical="center"/>
    </xf>
    <xf numFmtId="0" fontId="39" fillId="33" borderId="1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4" borderId="111" applyNumberFormat="0" applyAlignment="0" applyProtection="0">
      <alignment vertical="center"/>
    </xf>
    <xf numFmtId="0" fontId="41" fillId="34" borderId="111" applyNumberFormat="0" applyAlignment="0" applyProtection="0">
      <alignment vertical="center"/>
    </xf>
    <xf numFmtId="0" fontId="41" fillId="34" borderId="111" applyNumberFormat="0" applyAlignment="0" applyProtection="0">
      <alignment vertical="center"/>
    </xf>
    <xf numFmtId="0" fontId="41" fillId="34" borderId="111" applyNumberFormat="0" applyAlignment="0" applyProtection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 applyFont="0"/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76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11" fillId="0" borderId="0" xfId="172" applyFont="1" applyBorder="1"/>
    <xf numFmtId="176" fontId="12" fillId="0" borderId="0" xfId="172" applyNumberFormat="1" applyFont="1" applyBorder="1"/>
    <xf numFmtId="0" fontId="1" fillId="0" borderId="0" xfId="172"/>
    <xf numFmtId="0" fontId="1" fillId="0" borderId="0" xfId="172" applyFill="1"/>
    <xf numFmtId="0" fontId="1" fillId="0" borderId="0" xfId="172" applyBorder="1"/>
    <xf numFmtId="177" fontId="12" fillId="0" borderId="0" xfId="172" applyNumberFormat="1" applyFont="1" applyFill="1" applyBorder="1"/>
    <xf numFmtId="178" fontId="12" fillId="0" borderId="0" xfId="172" applyNumberFormat="1" applyFont="1" applyFill="1" applyBorder="1"/>
    <xf numFmtId="178" fontId="13" fillId="0" borderId="0" xfId="172" applyNumberFormat="1" applyFont="1" applyFill="1" applyBorder="1"/>
    <xf numFmtId="178" fontId="1" fillId="0" borderId="0" xfId="172" applyNumberFormat="1" applyFill="1"/>
    <xf numFmtId="0" fontId="13" fillId="0" borderId="0" xfId="172" applyFont="1"/>
    <xf numFmtId="176" fontId="13" fillId="0" borderId="0" xfId="172" applyNumberFormat="1" applyFont="1"/>
    <xf numFmtId="177" fontId="13" fillId="0" borderId="0" xfId="172" applyNumberFormat="1" applyFont="1" applyFill="1" applyBorder="1"/>
    <xf numFmtId="0" fontId="14" fillId="0" borderId="49" xfId="172" applyFont="1" applyBorder="1"/>
    <xf numFmtId="176" fontId="14" fillId="3" borderId="49" xfId="172" applyNumberFormat="1" applyFont="1" applyFill="1" applyBorder="1"/>
    <xf numFmtId="0" fontId="13" fillId="0" borderId="49" xfId="172" applyFont="1" applyBorder="1"/>
    <xf numFmtId="0" fontId="13" fillId="0" borderId="0" xfId="172" applyFont="1" applyBorder="1"/>
    <xf numFmtId="0" fontId="1" fillId="0" borderId="0" xfId="172" applyFont="1"/>
    <xf numFmtId="0" fontId="12" fillId="0" borderId="0" xfId="172" applyFont="1" applyBorder="1"/>
    <xf numFmtId="176" fontId="14" fillId="0" borderId="49" xfId="172" applyNumberFormat="1" applyFont="1" applyBorder="1"/>
    <xf numFmtId="0" fontId="14" fillId="0" borderId="0" xfId="172" applyFont="1" applyBorder="1"/>
    <xf numFmtId="0" fontId="14" fillId="0" borderId="0" xfId="172" applyFont="1"/>
    <xf numFmtId="178" fontId="1" fillId="0" borderId="0" xfId="172" applyNumberFormat="1" applyFont="1" applyFill="1"/>
    <xf numFmtId="176" fontId="13" fillId="0" borderId="49" xfId="172" applyNumberFormat="1" applyFont="1" applyBorder="1"/>
    <xf numFmtId="0" fontId="15" fillId="3" borderId="49" xfId="172" applyFont="1" applyFill="1" applyBorder="1"/>
    <xf numFmtId="176" fontId="13" fillId="0" borderId="0" xfId="172" applyNumberFormat="1" applyFont="1" applyBorder="1"/>
    <xf numFmtId="0" fontId="13" fillId="0" borderId="0" xfId="172" applyFont="1" applyFill="1"/>
    <xf numFmtId="177" fontId="13" fillId="0" borderId="0" xfId="172" applyNumberFormat="1" applyFont="1" applyFill="1"/>
    <xf numFmtId="178" fontId="13" fillId="0" borderId="0" xfId="172" applyNumberFormat="1" applyFont="1" applyFill="1"/>
    <xf numFmtId="0" fontId="1" fillId="3" borderId="1" xfId="172" applyFont="1" applyFill="1" applyBorder="1"/>
    <xf numFmtId="176" fontId="14" fillId="0" borderId="0" xfId="172" applyNumberFormat="1" applyFont="1" applyBorder="1"/>
    <xf numFmtId="0" fontId="18" fillId="0" borderId="0" xfId="172" applyFont="1" applyFill="1"/>
    <xf numFmtId="0" fontId="19" fillId="0" borderId="0" xfId="172" applyFont="1" applyFill="1"/>
    <xf numFmtId="0" fontId="13" fillId="0" borderId="50" xfId="172" applyFont="1" applyBorder="1" applyAlignment="1">
      <alignment horizontal="center"/>
    </xf>
    <xf numFmtId="0" fontId="13" fillId="0" borderId="0" xfId="172" applyFont="1" applyBorder="1" applyAlignment="1">
      <alignment horizontal="center"/>
    </xf>
    <xf numFmtId="0" fontId="13" fillId="4" borderId="51" xfId="172" applyFont="1" applyFill="1" applyBorder="1"/>
    <xf numFmtId="0" fontId="13" fillId="4" borderId="52" xfId="172" applyFont="1" applyFill="1" applyBorder="1"/>
    <xf numFmtId="0" fontId="14" fillId="0" borderId="53" xfId="172" applyFont="1" applyBorder="1" applyAlignment="1">
      <alignment horizontal="center"/>
    </xf>
    <xf numFmtId="0" fontId="14" fillId="0" borderId="54" xfId="172" applyFont="1" applyBorder="1" applyAlignment="1">
      <alignment horizontal="center"/>
    </xf>
    <xf numFmtId="0" fontId="14" fillId="0" borderId="1" xfId="172" applyFont="1" applyBorder="1" applyAlignment="1">
      <alignment horizontal="center"/>
    </xf>
    <xf numFmtId="0" fontId="14" fillId="0" borderId="1" xfId="172" applyFont="1" applyFill="1" applyBorder="1" applyAlignment="1">
      <alignment horizontal="center"/>
    </xf>
    <xf numFmtId="0" fontId="13" fillId="4" borderId="54" xfId="172" applyFont="1" applyFill="1" applyBorder="1" applyAlignment="1">
      <alignment horizontal="center"/>
    </xf>
    <xf numFmtId="0" fontId="14" fillId="4" borderId="55" xfId="172" applyFont="1" applyFill="1" applyBorder="1" applyAlignment="1">
      <alignment horizontal="center"/>
    </xf>
    <xf numFmtId="0" fontId="15" fillId="0" borderId="56" xfId="172" applyFont="1" applyBorder="1" applyAlignment="1">
      <alignment horizontal="center"/>
    </xf>
    <xf numFmtId="176" fontId="14" fillId="0" borderId="57" xfId="172" applyNumberFormat="1" applyFont="1" applyBorder="1" applyAlignment="1">
      <alignment horizontal="center"/>
    </xf>
    <xf numFmtId="176" fontId="14" fillId="0" borderId="58" xfId="172" applyNumberFormat="1" applyFont="1" applyBorder="1" applyAlignment="1">
      <alignment horizontal="center"/>
    </xf>
    <xf numFmtId="0" fontId="13" fillId="0" borderId="59" xfId="172" applyFont="1" applyBorder="1" applyAlignment="1">
      <alignment horizontal="center"/>
    </xf>
    <xf numFmtId="0" fontId="14" fillId="0" borderId="59" xfId="172" applyFont="1" applyBorder="1" applyAlignment="1">
      <alignment horizontal="center"/>
    </xf>
    <xf numFmtId="0" fontId="14" fillId="0" borderId="60" xfId="172" applyFont="1" applyBorder="1" applyAlignment="1">
      <alignment horizontal="center"/>
    </xf>
    <xf numFmtId="0" fontId="13" fillId="0" borderId="56" xfId="172" applyFont="1" applyBorder="1" applyAlignment="1">
      <alignment horizontal="center"/>
    </xf>
    <xf numFmtId="176" fontId="13" fillId="0" borderId="57" xfId="172" applyNumberFormat="1" applyFont="1" applyBorder="1" applyAlignment="1">
      <alignment horizontal="center"/>
    </xf>
    <xf numFmtId="176" fontId="13" fillId="0" borderId="58" xfId="172" applyNumberFormat="1" applyFont="1" applyBorder="1" applyAlignment="1">
      <alignment horizontal="center"/>
    </xf>
    <xf numFmtId="0" fontId="15" fillId="0" borderId="0" xfId="172" applyFont="1" applyAlignment="1">
      <alignment horizontal="center"/>
    </xf>
    <xf numFmtId="0" fontId="15" fillId="4" borderId="61" xfId="172" applyFont="1" applyFill="1" applyBorder="1" applyAlignment="1">
      <alignment horizontal="center"/>
    </xf>
    <xf numFmtId="0" fontId="15" fillId="4" borderId="62" xfId="172" applyFont="1" applyFill="1" applyBorder="1" applyAlignment="1">
      <alignment horizontal="center"/>
    </xf>
    <xf numFmtId="0" fontId="13" fillId="3" borderId="53" xfId="172" applyFont="1" applyFill="1" applyBorder="1" applyAlignment="1">
      <alignment horizontal="center"/>
    </xf>
    <xf numFmtId="14" fontId="13" fillId="3" borderId="63" xfId="172" applyNumberFormat="1" applyFont="1" applyFill="1" applyBorder="1"/>
    <xf numFmtId="179" fontId="13" fillId="3" borderId="64" xfId="172" applyNumberFormat="1" applyFont="1" applyFill="1" applyBorder="1"/>
    <xf numFmtId="178" fontId="13" fillId="3" borderId="64" xfId="172" applyNumberFormat="1" applyFont="1" applyFill="1" applyBorder="1"/>
    <xf numFmtId="178" fontId="13" fillId="3" borderId="63" xfId="172" applyNumberFormat="1" applyFont="1" applyFill="1" applyBorder="1"/>
    <xf numFmtId="178" fontId="13" fillId="0" borderId="64" xfId="172" applyNumberFormat="1" applyFont="1" applyFill="1" applyBorder="1"/>
    <xf numFmtId="178" fontId="13" fillId="3" borderId="65" xfId="172" applyNumberFormat="1" applyFont="1" applyFill="1" applyBorder="1"/>
    <xf numFmtId="178" fontId="13" fillId="3" borderId="66" xfId="172" applyNumberFormat="1" applyFont="1" applyFill="1" applyBorder="1"/>
    <xf numFmtId="0" fontId="14" fillId="0" borderId="50" xfId="172" applyFont="1" applyBorder="1"/>
    <xf numFmtId="0" fontId="13" fillId="0" borderId="67" xfId="172" applyFont="1" applyBorder="1"/>
    <xf numFmtId="14" fontId="13" fillId="0" borderId="64" xfId="172" applyNumberFormat="1" applyFont="1" applyBorder="1"/>
    <xf numFmtId="179" fontId="13" fillId="0" borderId="64" xfId="172" applyNumberFormat="1" applyFont="1" applyBorder="1"/>
    <xf numFmtId="180" fontId="13" fillId="0" borderId="64" xfId="172" applyNumberFormat="1" applyFont="1" applyFill="1" applyBorder="1"/>
    <xf numFmtId="181" fontId="13" fillId="0" borderId="64" xfId="172" applyNumberFormat="1" applyFont="1" applyFill="1" applyBorder="1" applyAlignment="1">
      <alignment horizontal="center" vertical="center"/>
    </xf>
    <xf numFmtId="182" fontId="13" fillId="0" borderId="64" xfId="172" applyNumberFormat="1" applyFont="1" applyFill="1" applyBorder="1"/>
    <xf numFmtId="181" fontId="13" fillId="0" borderId="64" xfId="172" applyNumberFormat="1" applyFont="1" applyFill="1" applyBorder="1"/>
    <xf numFmtId="181" fontId="13" fillId="0" borderId="63" xfId="172" applyNumberFormat="1" applyFont="1" applyFill="1" applyBorder="1"/>
    <xf numFmtId="181" fontId="13" fillId="0" borderId="66" xfId="172" applyNumberFormat="1" applyFont="1" applyFill="1" applyBorder="1"/>
    <xf numFmtId="0" fontId="13" fillId="4" borderId="68" xfId="172" applyFont="1" applyFill="1" applyBorder="1"/>
    <xf numFmtId="0" fontId="13" fillId="4" borderId="69" xfId="172" applyFont="1" applyFill="1" applyBorder="1"/>
    <xf numFmtId="0" fontId="13" fillId="4" borderId="70" xfId="172" applyFont="1" applyFill="1" applyBorder="1" applyAlignment="1">
      <alignment horizontal="center"/>
    </xf>
    <xf numFmtId="176" fontId="13" fillId="0" borderId="53" xfId="172" applyNumberFormat="1" applyFont="1" applyBorder="1"/>
    <xf numFmtId="0" fontId="13" fillId="4" borderId="71" xfId="172" applyFont="1" applyFill="1" applyBorder="1"/>
    <xf numFmtId="0" fontId="13" fillId="4" borderId="1" xfId="172" applyFont="1" applyFill="1" applyBorder="1"/>
    <xf numFmtId="0" fontId="13" fillId="4" borderId="72" xfId="172" applyFont="1" applyFill="1" applyBorder="1" applyAlignment="1">
      <alignment horizontal="center"/>
    </xf>
    <xf numFmtId="0" fontId="13" fillId="3" borderId="73" xfId="172" applyFont="1" applyFill="1" applyBorder="1" applyAlignment="1">
      <alignment horizontal="center"/>
    </xf>
    <xf numFmtId="14" fontId="13" fillId="3" borderId="74" xfId="172" applyNumberFormat="1" applyFont="1" applyFill="1" applyBorder="1"/>
    <xf numFmtId="179" fontId="13" fillId="3" borderId="75" xfId="172" applyNumberFormat="1" applyFont="1" applyFill="1" applyBorder="1"/>
    <xf numFmtId="14" fontId="13" fillId="3" borderId="75" xfId="172" applyNumberFormat="1" applyFont="1" applyFill="1" applyBorder="1"/>
    <xf numFmtId="178" fontId="13" fillId="3" borderId="75" xfId="172" applyNumberFormat="1" applyFont="1" applyFill="1" applyBorder="1"/>
    <xf numFmtId="178" fontId="13" fillId="3" borderId="74" xfId="172" applyNumberFormat="1" applyFont="1" applyFill="1" applyBorder="1"/>
    <xf numFmtId="178" fontId="13" fillId="0" borderId="75" xfId="172" applyNumberFormat="1" applyFont="1" applyFill="1" applyBorder="1"/>
    <xf numFmtId="178" fontId="13" fillId="3" borderId="76" xfId="172" applyNumberFormat="1" applyFont="1" applyFill="1" applyBorder="1"/>
    <xf numFmtId="178" fontId="13" fillId="3" borderId="77" xfId="172" applyNumberFormat="1" applyFont="1" applyFill="1" applyBorder="1"/>
    <xf numFmtId="0" fontId="13" fillId="0" borderId="78" xfId="172" applyFont="1" applyBorder="1"/>
    <xf numFmtId="14" fontId="13" fillId="0" borderId="75" xfId="172" applyNumberFormat="1" applyFont="1" applyBorder="1"/>
    <xf numFmtId="179" fontId="13" fillId="0" borderId="75" xfId="172" applyNumberFormat="1" applyFont="1" applyBorder="1"/>
    <xf numFmtId="180" fontId="13" fillId="0" borderId="75" xfId="172" applyNumberFormat="1" applyFont="1" applyFill="1" applyBorder="1"/>
    <xf numFmtId="181" fontId="13" fillId="0" borderId="75" xfId="172" applyNumberFormat="1" applyFont="1" applyFill="1" applyBorder="1" applyAlignment="1">
      <alignment horizontal="center" vertical="center"/>
    </xf>
    <xf numFmtId="182" fontId="13" fillId="0" borderId="75" xfId="172" applyNumberFormat="1" applyFont="1" applyFill="1" applyBorder="1"/>
    <xf numFmtId="181" fontId="13" fillId="0" borderId="75" xfId="172" applyNumberFormat="1" applyFont="1" applyFill="1" applyBorder="1"/>
    <xf numFmtId="181" fontId="13" fillId="0" borderId="74" xfId="172" applyNumberFormat="1" applyFont="1" applyFill="1" applyBorder="1"/>
    <xf numFmtId="181" fontId="13" fillId="0" borderId="77" xfId="172" applyNumberFormat="1" applyFont="1" applyFill="1" applyBorder="1"/>
    <xf numFmtId="177" fontId="13" fillId="0" borderId="64" xfId="172" applyNumberFormat="1" applyFont="1" applyFill="1" applyBorder="1"/>
    <xf numFmtId="178" fontId="13" fillId="0" borderId="63" xfId="172" applyNumberFormat="1" applyFont="1" applyFill="1" applyBorder="1"/>
    <xf numFmtId="178" fontId="13" fillId="0" borderId="66" xfId="172" applyNumberFormat="1" applyFont="1" applyFill="1" applyBorder="1"/>
    <xf numFmtId="0" fontId="13" fillId="4" borderId="78" xfId="172" applyFont="1" applyFill="1" applyBorder="1"/>
    <xf numFmtId="0" fontId="13" fillId="4" borderId="75" xfId="172" applyFont="1" applyFill="1" applyBorder="1"/>
    <xf numFmtId="0" fontId="13" fillId="4" borderId="77" xfId="172" applyFont="1" applyFill="1" applyBorder="1" applyAlignment="1">
      <alignment horizontal="center"/>
    </xf>
    <xf numFmtId="0" fontId="13" fillId="0" borderId="73" xfId="172" applyFont="1" applyBorder="1"/>
    <xf numFmtId="177" fontId="13" fillId="0" borderId="61" xfId="172" applyNumberFormat="1" applyFont="1" applyFill="1" applyBorder="1"/>
    <xf numFmtId="178" fontId="13" fillId="0" borderId="61" xfId="172" applyNumberFormat="1" applyFont="1" applyFill="1" applyBorder="1"/>
    <xf numFmtId="178" fontId="13" fillId="0" borderId="57" xfId="172" applyNumberFormat="1" applyFont="1" applyFill="1" applyBorder="1"/>
    <xf numFmtId="178" fontId="13" fillId="0" borderId="62" xfId="172" applyNumberFormat="1" applyFont="1" applyFill="1" applyBorder="1"/>
    <xf numFmtId="0" fontId="13" fillId="0" borderId="56" xfId="172" applyFont="1" applyBorder="1"/>
    <xf numFmtId="0" fontId="13" fillId="4" borderId="79" xfId="172" applyFont="1" applyFill="1" applyBorder="1"/>
    <xf numFmtId="0" fontId="13" fillId="4" borderId="59" xfId="172" applyFont="1" applyFill="1" applyBorder="1"/>
    <xf numFmtId="0" fontId="13" fillId="4" borderId="60" xfId="172" applyFont="1" applyFill="1" applyBorder="1" applyAlignment="1">
      <alignment horizontal="center"/>
    </xf>
    <xf numFmtId="178" fontId="21" fillId="3" borderId="64" xfId="172" applyNumberFormat="1" applyFont="1" applyFill="1" applyBorder="1"/>
    <xf numFmtId="178" fontId="21" fillId="3" borderId="63" xfId="172" applyNumberFormat="1" applyFont="1" applyFill="1" applyBorder="1"/>
    <xf numFmtId="178" fontId="21" fillId="0" borderId="64" xfId="172" applyNumberFormat="1" applyFont="1" applyFill="1" applyBorder="1"/>
    <xf numFmtId="178" fontId="21" fillId="3" borderId="65" xfId="172" applyNumberFormat="1" applyFont="1" applyFill="1" applyBorder="1"/>
    <xf numFmtId="178" fontId="13" fillId="0" borderId="0" xfId="172" applyNumberFormat="1" applyFont="1"/>
    <xf numFmtId="178" fontId="21" fillId="3" borderId="75" xfId="172" applyNumberFormat="1" applyFont="1" applyFill="1" applyBorder="1"/>
    <xf numFmtId="178" fontId="21" fillId="0" borderId="75" xfId="172" applyNumberFormat="1" applyFont="1" applyFill="1" applyBorder="1"/>
    <xf numFmtId="178" fontId="21" fillId="3" borderId="76" xfId="172" applyNumberFormat="1" applyFont="1" applyFill="1" applyBorder="1"/>
    <xf numFmtId="177" fontId="13" fillId="0" borderId="75" xfId="172" applyNumberFormat="1" applyFont="1" applyFill="1" applyBorder="1"/>
    <xf numFmtId="178" fontId="13" fillId="0" borderId="74" xfId="172" applyNumberFormat="1" applyFont="1" applyFill="1" applyBorder="1"/>
    <xf numFmtId="178" fontId="13" fillId="0" borderId="77" xfId="172" applyNumberFormat="1" applyFont="1" applyFill="1" applyBorder="1"/>
    <xf numFmtId="14" fontId="13" fillId="3" borderId="64" xfId="172" applyNumberFormat="1" applyFont="1" applyFill="1" applyBorder="1"/>
    <xf numFmtId="0" fontId="13" fillId="3" borderId="56" xfId="172" applyFont="1" applyFill="1" applyBorder="1" applyAlignment="1">
      <alignment horizontal="center"/>
    </xf>
    <xf numFmtId="14" fontId="13" fillId="3" borderId="57" xfId="172" applyNumberFormat="1" applyFont="1" applyFill="1" applyBorder="1"/>
    <xf numFmtId="179" fontId="13" fillId="3" borderId="61" xfId="172" applyNumberFormat="1" applyFont="1" applyFill="1" applyBorder="1"/>
    <xf numFmtId="178" fontId="21" fillId="3" borderId="61" xfId="172" applyNumberFormat="1" applyFont="1" applyFill="1" applyBorder="1"/>
    <xf numFmtId="178" fontId="21" fillId="3" borderId="57" xfId="172" applyNumberFormat="1" applyFont="1" applyFill="1" applyBorder="1"/>
    <xf numFmtId="178" fontId="21" fillId="0" borderId="61" xfId="172" applyNumberFormat="1" applyFont="1" applyFill="1" applyBorder="1"/>
    <xf numFmtId="178" fontId="21" fillId="3" borderId="80" xfId="172" applyNumberFormat="1" applyFont="1" applyFill="1" applyBorder="1"/>
    <xf numFmtId="178" fontId="13" fillId="3" borderId="61" xfId="172" applyNumberFormat="1" applyFont="1" applyFill="1" applyBorder="1"/>
    <xf numFmtId="178" fontId="13" fillId="3" borderId="62" xfId="172" applyNumberFormat="1" applyFont="1" applyFill="1" applyBorder="1"/>
    <xf numFmtId="0" fontId="13" fillId="0" borderId="81" xfId="172" applyFont="1" applyBorder="1"/>
    <xf numFmtId="14" fontId="13" fillId="0" borderId="61" xfId="172" applyNumberFormat="1" applyFont="1" applyBorder="1"/>
    <xf numFmtId="179" fontId="13" fillId="0" borderId="61" xfId="172" applyNumberFormat="1" applyFont="1" applyBorder="1"/>
    <xf numFmtId="178" fontId="1" fillId="0" borderId="0" xfId="172" applyNumberFormat="1" applyFill="1" applyBorder="1"/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181" fontId="5" fillId="0" borderId="22" xfId="0" applyNumberFormat="1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0" xfId="0" applyFont="1" applyFill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36" xfId="0" applyFont="1" applyFill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2" xfId="0" applyFont="1" applyFill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" fontId="5" fillId="0" borderId="18" xfId="0" applyNumberFormat="1" applyFont="1" applyBorder="1">
      <alignment vertical="center"/>
    </xf>
    <xf numFmtId="183" fontId="5" fillId="0" borderId="18" xfId="0" applyNumberFormat="1" applyFont="1" applyBorder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185" fontId="5" fillId="0" borderId="24" xfId="0" applyNumberFormat="1" applyFont="1" applyBorder="1" applyAlignment="1">
      <alignment horizontal="right" vertical="center"/>
    </xf>
    <xf numFmtId="186" fontId="5" fillId="0" borderId="22" xfId="0" applyNumberFormat="1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right" vertical="center"/>
    </xf>
    <xf numFmtId="185" fontId="5" fillId="0" borderId="22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2" fontId="5" fillId="0" borderId="32" xfId="0" applyNumberFormat="1" applyFont="1" applyBorder="1" applyAlignment="1">
      <alignment horizontal="right" vertical="center"/>
    </xf>
    <xf numFmtId="185" fontId="5" fillId="0" borderId="32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185" fontId="5" fillId="0" borderId="30" xfId="0" applyNumberFormat="1" applyFont="1" applyBorder="1" applyAlignment="1">
      <alignment horizontal="right" vertical="center"/>
    </xf>
    <xf numFmtId="2" fontId="5" fillId="0" borderId="38" xfId="0" applyNumberFormat="1" applyFont="1" applyBorder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185" fontId="5" fillId="0" borderId="38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185" fontId="5" fillId="0" borderId="24" xfId="0" applyNumberFormat="1" applyFont="1" applyBorder="1">
      <alignment vertical="center"/>
    </xf>
    <xf numFmtId="2" fontId="5" fillId="0" borderId="24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>
      <alignment horizontal="right" vertical="center"/>
    </xf>
    <xf numFmtId="184" fontId="5" fillId="0" borderId="24" xfId="0" applyNumberFormat="1" applyFont="1" applyBorder="1">
      <alignment vertical="center"/>
    </xf>
    <xf numFmtId="2" fontId="5" fillId="0" borderId="22" xfId="0" applyNumberFormat="1" applyFont="1" applyBorder="1" applyAlignment="1">
      <alignment horizontal="right" vertical="center"/>
    </xf>
    <xf numFmtId="2" fontId="5" fillId="0" borderId="32" xfId="0" applyNumberFormat="1" applyFont="1" applyBorder="1">
      <alignment vertical="center"/>
    </xf>
    <xf numFmtId="184" fontId="5" fillId="0" borderId="30" xfId="0" applyNumberFormat="1" applyFont="1" applyBorder="1" applyAlignment="1">
      <alignment horizontal="right" vertical="center"/>
    </xf>
    <xf numFmtId="185" fontId="5" fillId="0" borderId="34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 vertical="center"/>
    </xf>
    <xf numFmtId="185" fontId="5" fillId="0" borderId="39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85" fontId="5" fillId="0" borderId="44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85" fontId="5" fillId="0" borderId="41" xfId="0" applyNumberFormat="1" applyFont="1" applyBorder="1" applyAlignment="1">
      <alignment horizontal="right" vertical="center"/>
    </xf>
    <xf numFmtId="185" fontId="5" fillId="0" borderId="18" xfId="0" applyNumberFormat="1" applyFont="1" applyBorder="1">
      <alignment vertical="center"/>
    </xf>
    <xf numFmtId="184" fontId="5" fillId="0" borderId="19" xfId="0" applyNumberFormat="1" applyFont="1" applyBorder="1">
      <alignment vertical="center"/>
    </xf>
    <xf numFmtId="2" fontId="5" fillId="0" borderId="19" xfId="0" applyNumberFormat="1" applyFont="1" applyBorder="1">
      <alignment vertical="center"/>
    </xf>
    <xf numFmtId="184" fontId="5" fillId="0" borderId="18" xfId="0" applyNumberFormat="1" applyFont="1" applyBorder="1">
      <alignment vertical="center"/>
    </xf>
    <xf numFmtId="2" fontId="5" fillId="0" borderId="45" xfId="0" applyNumberFormat="1" applyFont="1" applyBorder="1">
      <alignment vertical="center"/>
    </xf>
    <xf numFmtId="178" fontId="13" fillId="36" borderId="64" xfId="172" applyNumberFormat="1" applyFont="1" applyFill="1" applyBorder="1"/>
    <xf numFmtId="187" fontId="13" fillId="37" borderId="65" xfId="172" applyNumberFormat="1" applyFont="1" applyFill="1" applyBorder="1"/>
    <xf numFmtId="187" fontId="13" fillId="37" borderId="64" xfId="172" applyNumberFormat="1" applyFont="1" applyFill="1" applyBorder="1"/>
    <xf numFmtId="178" fontId="13" fillId="37" borderId="64" xfId="172" applyNumberFormat="1" applyFont="1" applyFill="1" applyBorder="1"/>
    <xf numFmtId="188" fontId="13" fillId="37" borderId="64" xfId="172" applyNumberFormat="1" applyFont="1" applyFill="1" applyBorder="1"/>
    <xf numFmtId="178" fontId="13" fillId="37" borderId="66" xfId="172" applyNumberFormat="1" applyFont="1" applyFill="1" applyBorder="1"/>
    <xf numFmtId="181" fontId="13" fillId="38" borderId="64" xfId="172" applyNumberFormat="1" applyFont="1" applyFill="1" applyBorder="1"/>
    <xf numFmtId="181" fontId="13" fillId="38" borderId="63" xfId="172" applyNumberFormat="1" applyFont="1" applyFill="1" applyBorder="1"/>
    <xf numFmtId="0" fontId="13" fillId="4" borderId="4" xfId="172" applyFont="1" applyFill="1" applyBorder="1"/>
    <xf numFmtId="178" fontId="13" fillId="36" borderId="75" xfId="172" applyNumberFormat="1" applyFont="1" applyFill="1" applyBorder="1"/>
    <xf numFmtId="187" fontId="13" fillId="37" borderId="76" xfId="172" applyNumberFormat="1" applyFont="1" applyFill="1" applyBorder="1"/>
    <xf numFmtId="187" fontId="13" fillId="37" borderId="75" xfId="172" applyNumberFormat="1" applyFont="1" applyFill="1" applyBorder="1"/>
    <xf numFmtId="178" fontId="13" fillId="37" borderId="75" xfId="172" applyNumberFormat="1" applyFont="1" applyFill="1" applyBorder="1"/>
    <xf numFmtId="188" fontId="13" fillId="37" borderId="75" xfId="172" applyNumberFormat="1" applyFont="1" applyFill="1" applyBorder="1"/>
    <xf numFmtId="178" fontId="13" fillId="37" borderId="77" xfId="172" applyNumberFormat="1" applyFont="1" applyFill="1" applyBorder="1"/>
    <xf numFmtId="181" fontId="13" fillId="0" borderId="54" xfId="172" applyNumberFormat="1" applyFont="1" applyFill="1" applyBorder="1"/>
    <xf numFmtId="0" fontId="13" fillId="3" borderId="81" xfId="172" applyFont="1" applyFill="1" applyBorder="1" applyAlignment="1">
      <alignment horizontal="center"/>
    </xf>
    <xf numFmtId="178" fontId="13" fillId="36" borderId="61" xfId="172" applyNumberFormat="1" applyFont="1" applyFill="1" applyBorder="1"/>
    <xf numFmtId="178" fontId="13" fillId="3" borderId="57" xfId="172" applyNumberFormat="1" applyFont="1" applyFill="1" applyBorder="1"/>
    <xf numFmtId="187" fontId="13" fillId="37" borderId="80" xfId="172" applyNumberFormat="1" applyFont="1" applyFill="1" applyBorder="1"/>
    <xf numFmtId="187" fontId="13" fillId="37" borderId="61" xfId="172" applyNumberFormat="1" applyFont="1" applyFill="1" applyBorder="1"/>
    <xf numFmtId="178" fontId="13" fillId="37" borderId="61" xfId="172" applyNumberFormat="1" applyFont="1" applyFill="1" applyBorder="1"/>
    <xf numFmtId="188" fontId="13" fillId="37" borderId="61" xfId="172" applyNumberFormat="1" applyFont="1" applyFill="1" applyBorder="1"/>
    <xf numFmtId="178" fontId="13" fillId="37" borderId="62" xfId="172" applyNumberFormat="1" applyFont="1" applyFill="1" applyBorder="1"/>
    <xf numFmtId="180" fontId="13" fillId="0" borderId="61" xfId="172" applyNumberFormat="1" applyFont="1" applyFill="1" applyBorder="1"/>
    <xf numFmtId="181" fontId="13" fillId="0" borderId="61" xfId="172" applyNumberFormat="1" applyFont="1" applyFill="1" applyBorder="1"/>
    <xf numFmtId="182" fontId="13" fillId="0" borderId="61" xfId="172" applyNumberFormat="1" applyFont="1" applyFill="1" applyBorder="1"/>
    <xf numFmtId="181" fontId="13" fillId="38" borderId="61" xfId="172" applyNumberFormat="1" applyFont="1" applyFill="1" applyBorder="1"/>
    <xf numFmtId="181" fontId="13" fillId="0" borderId="57" xfId="172" applyNumberFormat="1" applyFont="1" applyFill="1" applyBorder="1"/>
    <xf numFmtId="181" fontId="13" fillId="0" borderId="62" xfId="172" applyNumberFormat="1" applyFont="1" applyFill="1" applyBorder="1"/>
    <xf numFmtId="2" fontId="5" fillId="0" borderId="16" xfId="0" applyNumberFormat="1" applyFont="1" applyBorder="1">
      <alignment vertical="center"/>
    </xf>
    <xf numFmtId="2" fontId="5" fillId="0" borderId="24" xfId="0" applyNumberFormat="1" applyFont="1" applyBorder="1">
      <alignment vertical="center"/>
    </xf>
    <xf numFmtId="183" fontId="5" fillId="0" borderId="24" xfId="0" applyNumberFormat="1" applyFont="1" applyBorder="1">
      <alignment vertical="center"/>
    </xf>
    <xf numFmtId="2" fontId="5" fillId="0" borderId="25" xfId="0" applyNumberFormat="1" applyFont="1" applyBorder="1">
      <alignment vertical="center"/>
    </xf>
    <xf numFmtId="2" fontId="5" fillId="0" borderId="22" xfId="0" applyNumberFormat="1" applyFont="1" applyBorder="1">
      <alignment vertical="center"/>
    </xf>
    <xf numFmtId="2" fontId="5" fillId="0" borderId="33" xfId="0" applyNumberFormat="1" applyFont="1" applyBorder="1">
      <alignment vertical="center"/>
    </xf>
    <xf numFmtId="185" fontId="5" fillId="0" borderId="38" xfId="0" applyNumberFormat="1" applyFont="1" applyBorder="1">
      <alignment vertical="center"/>
    </xf>
    <xf numFmtId="184" fontId="5" fillId="0" borderId="36" xfId="0" applyNumberFormat="1" applyFont="1" applyBorder="1">
      <alignment vertical="center"/>
    </xf>
    <xf numFmtId="184" fontId="5" fillId="0" borderId="21" xfId="0" applyNumberFormat="1" applyFont="1" applyBorder="1">
      <alignment vertical="center"/>
    </xf>
    <xf numFmtId="185" fontId="5" fillId="0" borderId="25" xfId="0" applyNumberFormat="1" applyFont="1" applyBorder="1">
      <alignment vertical="center"/>
    </xf>
    <xf numFmtId="184" fontId="5" fillId="0" borderId="22" xfId="0" applyNumberFormat="1" applyFont="1" applyBorder="1">
      <alignment vertical="center"/>
    </xf>
    <xf numFmtId="183" fontId="5" fillId="0" borderId="31" xfId="0" applyNumberFormat="1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185" fontId="5" fillId="0" borderId="32" xfId="0" applyNumberFormat="1" applyFont="1" applyBorder="1">
      <alignment vertical="center"/>
    </xf>
    <xf numFmtId="185" fontId="5" fillId="0" borderId="30" xfId="0" applyNumberFormat="1" applyFont="1" applyBorder="1">
      <alignment vertical="center"/>
    </xf>
    <xf numFmtId="2" fontId="5" fillId="0" borderId="36" xfId="0" applyNumberFormat="1" applyFont="1" applyBorder="1">
      <alignment vertical="center"/>
    </xf>
    <xf numFmtId="184" fontId="5" fillId="0" borderId="45" xfId="0" applyNumberFormat="1" applyFont="1" applyBorder="1">
      <alignment vertical="center"/>
    </xf>
    <xf numFmtId="184" fontId="5" fillId="0" borderId="44" xfId="0" applyNumberFormat="1" applyFont="1" applyBorder="1">
      <alignment vertical="center"/>
    </xf>
    <xf numFmtId="185" fontId="5" fillId="0" borderId="44" xfId="0" applyNumberFormat="1" applyFont="1" applyBorder="1">
      <alignment vertical="center"/>
    </xf>
    <xf numFmtId="189" fontId="5" fillId="0" borderId="19" xfId="0" applyNumberFormat="1" applyFont="1" applyBorder="1">
      <alignment vertical="center"/>
    </xf>
    <xf numFmtId="184" fontId="5" fillId="0" borderId="16" xfId="0" applyNumberFormat="1" applyFont="1" applyBorder="1">
      <alignment vertical="center"/>
    </xf>
    <xf numFmtId="189" fontId="5" fillId="0" borderId="45" xfId="0" applyNumberFormat="1" applyFont="1" applyBorder="1">
      <alignment vertical="center"/>
    </xf>
    <xf numFmtId="0" fontId="13" fillId="0" borderId="82" xfId="172" applyFont="1" applyBorder="1" applyAlignment="1">
      <alignment horizontal="center"/>
    </xf>
    <xf numFmtId="181" fontId="13" fillId="3" borderId="64" xfId="172" applyNumberFormat="1" applyFont="1" applyFill="1" applyBorder="1"/>
    <xf numFmtId="0" fontId="14" fillId="0" borderId="83" xfId="172" applyFont="1" applyBorder="1"/>
    <xf numFmtId="0" fontId="13" fillId="0" borderId="65" xfId="172" applyFont="1" applyBorder="1"/>
    <xf numFmtId="176" fontId="13" fillId="0" borderId="67" xfId="172" applyNumberFormat="1" applyFont="1" applyBorder="1"/>
    <xf numFmtId="181" fontId="13" fillId="3" borderId="75" xfId="172" applyNumberFormat="1" applyFont="1" applyFill="1" applyBorder="1"/>
    <xf numFmtId="0" fontId="13" fillId="0" borderId="84" xfId="172" applyFont="1" applyBorder="1"/>
    <xf numFmtId="0" fontId="13" fillId="0" borderId="82" xfId="172" applyFont="1" applyBorder="1"/>
    <xf numFmtId="178" fontId="21" fillId="3" borderId="74" xfId="172" applyNumberFormat="1" applyFont="1" applyFill="1" applyBorder="1"/>
    <xf numFmtId="178" fontId="13" fillId="3" borderId="63" xfId="172" applyNumberFormat="1" applyFont="1" applyFill="1" applyBorder="1" applyAlignment="1">
      <alignment horizontal="center"/>
    </xf>
    <xf numFmtId="178" fontId="13" fillId="0" borderId="64" xfId="172" applyNumberFormat="1" applyFont="1" applyFill="1" applyBorder="1" applyAlignment="1">
      <alignment horizontal="center"/>
    </xf>
    <xf numFmtId="178" fontId="13" fillId="3" borderId="65" xfId="172" applyNumberFormat="1" applyFont="1" applyFill="1" applyBorder="1" applyAlignment="1">
      <alignment horizontal="center"/>
    </xf>
    <xf numFmtId="178" fontId="13" fillId="3" borderId="64" xfId="172" applyNumberFormat="1" applyFont="1" applyFill="1" applyBorder="1" applyAlignment="1">
      <alignment horizontal="center"/>
    </xf>
    <xf numFmtId="178" fontId="13" fillId="3" borderId="66" xfId="172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13" fillId="3" borderId="78" xfId="172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>
      <alignment vertical="center"/>
    </xf>
    <xf numFmtId="181" fontId="5" fillId="0" borderId="16" xfId="0" applyNumberFormat="1" applyFont="1" applyFill="1" applyBorder="1">
      <alignment vertical="center"/>
    </xf>
    <xf numFmtId="0" fontId="5" fillId="0" borderId="17" xfId="0" applyFont="1" applyFill="1" applyBorder="1">
      <alignment vertical="center"/>
    </xf>
    <xf numFmtId="187" fontId="5" fillId="0" borderId="18" xfId="0" applyNumberFormat="1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181" fontId="5" fillId="0" borderId="18" xfId="0" applyNumberFormat="1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181" fontId="5" fillId="0" borderId="24" xfId="0" applyNumberFormat="1" applyFont="1" applyFill="1" applyBorder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>
      <alignment vertical="center"/>
    </xf>
    <xf numFmtId="181" fontId="5" fillId="0" borderId="30" xfId="0" applyNumberFormat="1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181" fontId="5" fillId="0" borderId="32" xfId="0" applyNumberFormat="1" applyFont="1" applyFill="1" applyBorder="1">
      <alignment vertical="center"/>
    </xf>
    <xf numFmtId="0" fontId="5" fillId="0" borderId="35" xfId="0" applyFont="1" applyFill="1" applyBorder="1">
      <alignment vertical="center"/>
    </xf>
    <xf numFmtId="181" fontId="5" fillId="0" borderId="36" xfId="0" applyNumberFormat="1" applyFont="1" applyFill="1" applyBorder="1">
      <alignment vertical="center"/>
    </xf>
    <xf numFmtId="0" fontId="5" fillId="0" borderId="37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5" fillId="0" borderId="39" xfId="0" applyFont="1" applyFill="1" applyBorder="1">
      <alignment vertical="center"/>
    </xf>
    <xf numFmtId="181" fontId="5" fillId="0" borderId="38" xfId="0" applyNumberFormat="1" applyFont="1" applyFill="1" applyBorder="1">
      <alignment vertical="center"/>
    </xf>
    <xf numFmtId="178" fontId="5" fillId="0" borderId="24" xfId="0" applyNumberFormat="1" applyFont="1" applyFill="1" applyBorder="1">
      <alignment vertical="center"/>
    </xf>
    <xf numFmtId="178" fontId="5" fillId="0" borderId="32" xfId="0" applyNumberFormat="1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1" xfId="0" applyFont="1" applyFill="1" applyBorder="1">
      <alignment vertical="center"/>
    </xf>
    <xf numFmtId="181" fontId="5" fillId="0" borderId="42" xfId="0" applyNumberFormat="1" applyFont="1" applyFill="1" applyBorder="1">
      <alignment vertical="center"/>
    </xf>
    <xf numFmtId="0" fontId="5" fillId="0" borderId="43" xfId="0" applyFont="1" applyFill="1" applyBorder="1">
      <alignment vertical="center"/>
    </xf>
    <xf numFmtId="178" fontId="5" fillId="0" borderId="44" xfId="0" applyNumberFormat="1" applyFont="1" applyFill="1" applyBorder="1">
      <alignment vertical="center"/>
    </xf>
    <xf numFmtId="0" fontId="5" fillId="0" borderId="44" xfId="0" applyFont="1" applyFill="1" applyBorder="1">
      <alignment vertical="center"/>
    </xf>
    <xf numFmtId="0" fontId="5" fillId="0" borderId="45" xfId="0" applyFont="1" applyFill="1" applyBorder="1">
      <alignment vertical="center"/>
    </xf>
    <xf numFmtId="181" fontId="5" fillId="0" borderId="44" xfId="0" applyNumberFormat="1" applyFont="1" applyFill="1" applyBorder="1">
      <alignment vertical="center"/>
    </xf>
    <xf numFmtId="178" fontId="5" fillId="0" borderId="18" xfId="0" applyNumberFormat="1" applyFont="1" applyBorder="1">
      <alignment vertical="center"/>
    </xf>
    <xf numFmtId="187" fontId="5" fillId="0" borderId="18" xfId="0" applyNumberFormat="1" applyFont="1" applyBorder="1">
      <alignment vertical="center"/>
    </xf>
    <xf numFmtId="181" fontId="5" fillId="0" borderId="18" xfId="0" applyNumberFormat="1" applyFont="1" applyBorder="1">
      <alignment vertical="center"/>
    </xf>
    <xf numFmtId="187" fontId="5" fillId="0" borderId="17" xfId="0" applyNumberFormat="1" applyFont="1" applyBorder="1">
      <alignment vertical="center"/>
    </xf>
    <xf numFmtId="187" fontId="5" fillId="0" borderId="19" xfId="0" applyNumberFormat="1" applyFont="1" applyBorder="1">
      <alignment vertical="center"/>
    </xf>
    <xf numFmtId="178" fontId="5" fillId="0" borderId="19" xfId="0" applyNumberFormat="1" applyFont="1" applyBorder="1">
      <alignment vertical="center"/>
    </xf>
    <xf numFmtId="187" fontId="5" fillId="0" borderId="16" xfId="0" applyNumberFormat="1" applyFont="1" applyBorder="1">
      <alignment vertical="center"/>
    </xf>
    <xf numFmtId="178" fontId="5" fillId="0" borderId="44" xfId="0" applyNumberFormat="1" applyFont="1" applyBorder="1">
      <alignment vertical="center"/>
    </xf>
    <xf numFmtId="178" fontId="5" fillId="0" borderId="43" xfId="0" applyNumberFormat="1" applyFont="1" applyBorder="1">
      <alignment vertical="center"/>
    </xf>
    <xf numFmtId="178" fontId="5" fillId="0" borderId="45" xfId="0" applyNumberFormat="1" applyFont="1" applyBorder="1">
      <alignment vertical="center"/>
    </xf>
    <xf numFmtId="187" fontId="5" fillId="0" borderId="45" xfId="0" applyNumberFormat="1" applyFont="1" applyBorder="1">
      <alignment vertical="center"/>
    </xf>
    <xf numFmtId="190" fontId="5" fillId="0" borderId="45" xfId="0" applyNumberFormat="1" applyFont="1" applyBorder="1">
      <alignment vertical="center"/>
    </xf>
    <xf numFmtId="191" fontId="5" fillId="0" borderId="44" xfId="0" applyNumberFormat="1" applyFont="1" applyBorder="1">
      <alignment vertical="center"/>
    </xf>
    <xf numFmtId="178" fontId="5" fillId="0" borderId="42" xfId="0" applyNumberFormat="1" applyFont="1" applyBorder="1">
      <alignment vertical="center"/>
    </xf>
    <xf numFmtId="187" fontId="5" fillId="0" borderId="42" xfId="0" applyNumberFormat="1" applyFont="1" applyBorder="1">
      <alignment vertical="center"/>
    </xf>
    <xf numFmtId="185" fontId="5" fillId="0" borderId="16" xfId="0" applyNumberFormat="1" applyFont="1" applyBorder="1">
      <alignment vertical="center"/>
    </xf>
    <xf numFmtId="2" fontId="5" fillId="0" borderId="23" xfId="0" applyNumberFormat="1" applyFont="1" applyBorder="1">
      <alignment vertical="center"/>
    </xf>
    <xf numFmtId="185" fontId="5" fillId="0" borderId="39" xfId="0" applyNumberFormat="1" applyFont="1" applyBorder="1">
      <alignment vertical="center"/>
    </xf>
    <xf numFmtId="2" fontId="5" fillId="0" borderId="42" xfId="0" applyNumberFormat="1" applyFont="1" applyBorder="1">
      <alignment vertical="center"/>
    </xf>
    <xf numFmtId="2" fontId="5" fillId="0" borderId="44" xfId="0" applyNumberFormat="1" applyFont="1" applyBorder="1">
      <alignment vertical="center"/>
    </xf>
    <xf numFmtId="0" fontId="5" fillId="0" borderId="14" xfId="0" applyFont="1" applyBorder="1" applyAlignment="1">
      <alignment vertical="center" shrinkToFit="1"/>
    </xf>
    <xf numFmtId="185" fontId="5" fillId="0" borderId="16" xfId="0" applyNumberFormat="1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185" fontId="5" fillId="0" borderId="18" xfId="0" applyNumberFormat="1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85" fontId="5" fillId="0" borderId="22" xfId="0" applyNumberFormat="1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2" fontId="5" fillId="0" borderId="24" xfId="0" applyNumberFormat="1" applyFont="1" applyBorder="1" applyAlignment="1">
      <alignment vertical="center" shrinkToFit="1"/>
    </xf>
    <xf numFmtId="185" fontId="5" fillId="0" borderId="24" xfId="0" applyNumberFormat="1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2" fontId="5" fillId="0" borderId="22" xfId="0" applyNumberFormat="1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183" fontId="5" fillId="0" borderId="24" xfId="0" applyNumberFormat="1" applyFont="1" applyBorder="1" applyAlignment="1">
      <alignment vertical="center" shrinkToFit="1"/>
    </xf>
    <xf numFmtId="2" fontId="5" fillId="0" borderId="25" xfId="0" applyNumberFormat="1" applyFont="1" applyBorder="1" applyAlignment="1">
      <alignment vertical="center" shrinkToFit="1"/>
    </xf>
    <xf numFmtId="184" fontId="5" fillId="0" borderId="24" xfId="0" applyNumberFormat="1" applyFont="1" applyBorder="1" applyAlignment="1">
      <alignment vertical="center" shrinkToFit="1"/>
    </xf>
    <xf numFmtId="185" fontId="5" fillId="0" borderId="30" xfId="0" applyNumberFormat="1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185" fontId="5" fillId="0" borderId="32" xfId="0" applyNumberFormat="1" applyFont="1" applyBorder="1" applyAlignment="1">
      <alignment vertical="center" shrinkToFit="1"/>
    </xf>
    <xf numFmtId="184" fontId="5" fillId="0" borderId="32" xfId="0" applyNumberFormat="1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2" fontId="5" fillId="0" borderId="34" xfId="0" applyNumberFormat="1" applyFont="1" applyBorder="1" applyAlignment="1">
      <alignment vertical="center" shrinkToFit="1"/>
    </xf>
    <xf numFmtId="2" fontId="5" fillId="0" borderId="33" xfId="0" applyNumberFormat="1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185" fontId="5" fillId="0" borderId="36" xfId="0" applyNumberFormat="1" applyFont="1" applyBorder="1" applyAlignment="1">
      <alignment vertical="center" shrinkToFit="1"/>
    </xf>
    <xf numFmtId="184" fontId="5" fillId="0" borderId="37" xfId="0" applyNumberFormat="1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184" fontId="5" fillId="0" borderId="23" xfId="0" applyNumberFormat="1" applyFont="1" applyBorder="1" applyAlignment="1">
      <alignment vertical="center" shrinkToFit="1"/>
    </xf>
    <xf numFmtId="2" fontId="5" fillId="0" borderId="21" xfId="0" applyNumberFormat="1" applyFont="1" applyBorder="1" applyAlignment="1">
      <alignment vertical="center" shrinkToFit="1"/>
    </xf>
    <xf numFmtId="184" fontId="5" fillId="0" borderId="21" xfId="0" applyNumberFormat="1" applyFont="1" applyBorder="1" applyAlignment="1">
      <alignment vertical="center" shrinkToFit="1"/>
    </xf>
    <xf numFmtId="185" fontId="5" fillId="0" borderId="25" xfId="0" applyNumberFormat="1" applyFont="1" applyBorder="1" applyAlignment="1">
      <alignment vertical="center" shrinkToFit="1"/>
    </xf>
    <xf numFmtId="184" fontId="5" fillId="0" borderId="22" xfId="0" applyNumberFormat="1" applyFont="1" applyBorder="1" applyAlignment="1">
      <alignment vertical="center" shrinkToFit="1"/>
    </xf>
    <xf numFmtId="184" fontId="5" fillId="0" borderId="33" xfId="0" applyNumberFormat="1" applyFont="1" applyBorder="1" applyAlignment="1">
      <alignment vertical="center" shrinkToFit="1"/>
    </xf>
    <xf numFmtId="185" fontId="5" fillId="0" borderId="38" xfId="0" applyNumberFormat="1" applyFont="1" applyBorder="1" applyAlignment="1">
      <alignment vertical="center" shrinkToFit="1"/>
    </xf>
    <xf numFmtId="184" fontId="5" fillId="0" borderId="38" xfId="0" applyNumberFormat="1" applyFont="1" applyBorder="1" applyAlignment="1">
      <alignment vertical="center" shrinkToFit="1"/>
    </xf>
    <xf numFmtId="2" fontId="5" fillId="0" borderId="36" xfId="0" applyNumberFormat="1" applyFont="1" applyBorder="1" applyAlignment="1">
      <alignment vertical="center" shrinkToFit="1"/>
    </xf>
    <xf numFmtId="185" fontId="5" fillId="0" borderId="42" xfId="0" applyNumberFormat="1" applyFont="1" applyBorder="1" applyAlignment="1">
      <alignment vertical="center" shrinkToFit="1"/>
    </xf>
    <xf numFmtId="184" fontId="5" fillId="0" borderId="43" xfId="0" applyNumberFormat="1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185" fontId="5" fillId="0" borderId="44" xfId="0" applyNumberFormat="1" applyFont="1" applyBorder="1" applyAlignment="1">
      <alignment vertical="center" shrinkToFit="1"/>
    </xf>
    <xf numFmtId="2" fontId="5" fillId="0" borderId="44" xfId="0" applyNumberFormat="1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6" xfId="0" applyFont="1" applyBorder="1" applyAlignment="1">
      <alignment vertical="center" shrinkToFit="1"/>
    </xf>
    <xf numFmtId="189" fontId="5" fillId="0" borderId="18" xfId="0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89" fontId="5" fillId="0" borderId="5" xfId="0" applyNumberFormat="1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84" fontId="5" fillId="0" borderId="16" xfId="0" applyNumberFormat="1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184" fontId="5" fillId="0" borderId="45" xfId="0" applyNumberFormat="1" applyFont="1" applyBorder="1" applyAlignment="1">
      <alignment vertical="center" shrinkToFit="1"/>
    </xf>
    <xf numFmtId="183" fontId="5" fillId="0" borderId="44" xfId="0" applyNumberFormat="1" applyFont="1" applyBorder="1" applyAlignment="1">
      <alignment vertical="center" shrinkToFit="1"/>
    </xf>
    <xf numFmtId="184" fontId="5" fillId="0" borderId="44" xfId="0" applyNumberFormat="1" applyFont="1" applyBorder="1" applyAlignment="1">
      <alignment vertical="center" shrinkToFit="1"/>
    </xf>
    <xf numFmtId="183" fontId="5" fillId="0" borderId="42" xfId="0" applyNumberFormat="1" applyFont="1" applyBorder="1" applyAlignment="1">
      <alignment vertical="center" shrinkToFit="1"/>
    </xf>
    <xf numFmtId="14" fontId="13" fillId="3" borderId="63" xfId="172" applyNumberFormat="1" applyFont="1" applyFill="1" applyBorder="1" applyAlignment="1">
      <alignment shrinkToFit="1"/>
    </xf>
    <xf numFmtId="179" fontId="13" fillId="3" borderId="64" xfId="172" applyNumberFormat="1" applyFont="1" applyFill="1" applyBorder="1" applyAlignment="1">
      <alignment shrinkToFit="1"/>
    </xf>
    <xf numFmtId="14" fontId="13" fillId="3" borderId="74" xfId="172" applyNumberFormat="1" applyFont="1" applyFill="1" applyBorder="1" applyAlignment="1">
      <alignment shrinkToFit="1"/>
    </xf>
    <xf numFmtId="179" fontId="13" fillId="3" borderId="75" xfId="172" applyNumberFormat="1" applyFont="1" applyFill="1" applyBorder="1" applyAlignment="1">
      <alignment shrinkToFit="1"/>
    </xf>
    <xf numFmtId="178" fontId="13" fillId="0" borderId="54" xfId="172" applyNumberFormat="1" applyFont="1" applyFill="1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8" fontId="0" fillId="0" borderId="0" xfId="172" applyNumberFormat="1" applyFont="1" applyFill="1"/>
    <xf numFmtId="0" fontId="5" fillId="39" borderId="0" xfId="0" applyFont="1" applyFill="1" applyBorder="1" applyAlignment="1">
      <alignment horizontal="center" vertical="center"/>
    </xf>
    <xf numFmtId="0" fontId="5" fillId="39" borderId="0" xfId="0" applyFont="1" applyFill="1" applyBorder="1">
      <alignment vertical="center"/>
    </xf>
    <xf numFmtId="193" fontId="5" fillId="39" borderId="0" xfId="0" applyNumberFormat="1" applyFont="1" applyFill="1" applyBorder="1">
      <alignment vertical="center"/>
    </xf>
    <xf numFmtId="190" fontId="5" fillId="39" borderId="0" xfId="0" applyNumberFormat="1" applyFont="1" applyFill="1" applyBorder="1">
      <alignment vertical="center"/>
    </xf>
    <xf numFmtId="0" fontId="0" fillId="39" borderId="0" xfId="0" applyFill="1">
      <alignment vertical="center"/>
    </xf>
    <xf numFmtId="0" fontId="5" fillId="39" borderId="0" xfId="0" applyFont="1" applyFill="1">
      <alignment vertical="center"/>
    </xf>
    <xf numFmtId="193" fontId="5" fillId="39" borderId="0" xfId="0" applyNumberFormat="1" applyFont="1" applyFill="1">
      <alignment vertical="center"/>
    </xf>
    <xf numFmtId="190" fontId="5" fillId="39" borderId="0" xfId="0" applyNumberFormat="1" applyFont="1" applyFill="1">
      <alignment vertical="center"/>
    </xf>
    <xf numFmtId="193" fontId="5" fillId="39" borderId="0" xfId="0" applyNumberFormat="1" applyFont="1" applyFill="1" applyBorder="1" applyAlignment="1">
      <alignment horizontal="center" vertical="center"/>
    </xf>
    <xf numFmtId="193" fontId="5" fillId="39" borderId="0" xfId="0" applyNumberFormat="1" applyFont="1" applyFill="1" applyAlignment="1">
      <alignment horizontal="center" vertical="center"/>
    </xf>
    <xf numFmtId="193" fontId="5" fillId="39" borderId="0" xfId="0" applyNumberFormat="1" applyFont="1" applyFill="1" applyBorder="1" applyAlignment="1">
      <alignment horizontal="right" vertical="center"/>
    </xf>
    <xf numFmtId="190" fontId="5" fillId="39" borderId="0" xfId="0" applyNumberFormat="1" applyFont="1" applyFill="1" applyBorder="1" applyAlignment="1">
      <alignment horizontal="right" vertical="center"/>
    </xf>
    <xf numFmtId="193" fontId="5" fillId="39" borderId="0" xfId="0" applyNumberFormat="1" applyFont="1" applyFill="1" applyAlignment="1">
      <alignment horizontal="right" vertical="center"/>
    </xf>
    <xf numFmtId="190" fontId="5" fillId="39" borderId="0" xfId="0" applyNumberFormat="1" applyFont="1" applyFill="1" applyAlignment="1">
      <alignment horizontal="right" vertical="center"/>
    </xf>
    <xf numFmtId="193" fontId="5" fillId="39" borderId="0" xfId="0" applyNumberFormat="1" applyFont="1" applyFill="1" applyBorder="1" applyAlignment="1">
      <alignment vertical="center" shrinkToFit="1"/>
    </xf>
    <xf numFmtId="190" fontId="5" fillId="39" borderId="0" xfId="0" applyNumberFormat="1" applyFont="1" applyFill="1" applyBorder="1" applyAlignment="1">
      <alignment vertical="center" shrinkToFit="1"/>
    </xf>
    <xf numFmtId="193" fontId="5" fillId="39" borderId="0" xfId="0" applyNumberFormat="1" applyFont="1" applyFill="1" applyAlignment="1">
      <alignment vertical="center" shrinkToFit="1"/>
    </xf>
    <xf numFmtId="190" fontId="5" fillId="39" borderId="0" xfId="0" applyNumberFormat="1" applyFont="1" applyFill="1" applyAlignment="1">
      <alignment vertical="center" shrinkToFit="1"/>
    </xf>
    <xf numFmtId="193" fontId="5" fillId="39" borderId="87" xfId="0" applyNumberFormat="1" applyFont="1" applyFill="1" applyBorder="1">
      <alignment vertical="center"/>
    </xf>
    <xf numFmtId="193" fontId="5" fillId="39" borderId="49" xfId="0" applyNumberFormat="1" applyFont="1" applyFill="1" applyBorder="1">
      <alignment vertical="center"/>
    </xf>
    <xf numFmtId="0" fontId="5" fillId="0" borderId="16" xfId="0" applyNumberFormat="1" applyFont="1" applyBorder="1">
      <alignment vertical="center"/>
    </xf>
    <xf numFmtId="0" fontId="5" fillId="0" borderId="22" xfId="0" applyNumberFormat="1" applyFont="1" applyBorder="1">
      <alignment vertical="center"/>
    </xf>
    <xf numFmtId="0" fontId="5" fillId="0" borderId="30" xfId="0" applyNumberFormat="1" applyFont="1" applyBorder="1">
      <alignment vertical="center"/>
    </xf>
    <xf numFmtId="0" fontId="5" fillId="0" borderId="36" xfId="0" applyNumberFormat="1" applyFont="1" applyBorder="1">
      <alignment vertical="center"/>
    </xf>
    <xf numFmtId="0" fontId="5" fillId="0" borderId="42" xfId="0" applyNumberFormat="1" applyFont="1" applyBorder="1">
      <alignment vertical="center"/>
    </xf>
    <xf numFmtId="192" fontId="0" fillId="0" borderId="0" xfId="0" applyNumberFormat="1">
      <alignment vertical="center"/>
    </xf>
    <xf numFmtId="193" fontId="0" fillId="0" borderId="0" xfId="0" applyNumberFormat="1">
      <alignment vertical="center"/>
    </xf>
    <xf numFmtId="193" fontId="0" fillId="0" borderId="63" xfId="0" applyNumberFormat="1" applyBorder="1">
      <alignment vertical="center"/>
    </xf>
    <xf numFmtId="0" fontId="0" fillId="0" borderId="63" xfId="0" applyBorder="1">
      <alignment vertical="center"/>
    </xf>
    <xf numFmtId="193" fontId="0" fillId="0" borderId="64" xfId="0" applyNumberFormat="1" applyBorder="1">
      <alignment vertical="center"/>
    </xf>
    <xf numFmtId="0" fontId="0" fillId="0" borderId="49" xfId="0" applyBorder="1">
      <alignment vertical="center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4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193" fontId="0" fillId="0" borderId="65" xfId="0" applyNumberFormat="1" applyBorder="1">
      <alignment vertical="center"/>
    </xf>
    <xf numFmtId="193" fontId="0" fillId="0" borderId="0" xfId="0" applyNumberFormat="1" applyBorder="1">
      <alignment vertical="center"/>
    </xf>
    <xf numFmtId="193" fontId="0" fillId="37" borderId="0" xfId="0" applyNumberFormat="1" applyFill="1">
      <alignment vertical="center"/>
    </xf>
    <xf numFmtId="0" fontId="5" fillId="0" borderId="18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5" fillId="0" borderId="24" xfId="0" applyNumberFormat="1" applyFont="1" applyBorder="1">
      <alignment vertical="center"/>
    </xf>
    <xf numFmtId="0" fontId="5" fillId="0" borderId="25" xfId="0" applyNumberFormat="1" applyFont="1" applyBorder="1">
      <alignment vertical="center"/>
    </xf>
    <xf numFmtId="0" fontId="5" fillId="0" borderId="32" xfId="0" applyNumberFormat="1" applyFont="1" applyBorder="1">
      <alignment vertical="center"/>
    </xf>
    <xf numFmtId="0" fontId="5" fillId="0" borderId="33" xfId="0" applyNumberFormat="1" applyFont="1" applyBorder="1">
      <alignment vertical="center"/>
    </xf>
    <xf numFmtId="0" fontId="5" fillId="0" borderId="38" xfId="0" applyNumberFormat="1" applyFont="1" applyBorder="1">
      <alignment vertical="center"/>
    </xf>
    <xf numFmtId="0" fontId="5" fillId="0" borderId="39" xfId="0" applyNumberFormat="1" applyFont="1" applyBorder="1">
      <alignment vertical="center"/>
    </xf>
    <xf numFmtId="0" fontId="5" fillId="0" borderId="44" xfId="0" applyNumberFormat="1" applyFont="1" applyBorder="1">
      <alignment vertical="center"/>
    </xf>
    <xf numFmtId="0" fontId="5" fillId="0" borderId="45" xfId="0" applyNumberFormat="1" applyFont="1" applyBorder="1">
      <alignment vertical="center"/>
    </xf>
    <xf numFmtId="0" fontId="5" fillId="0" borderId="23" xfId="0" applyNumberFormat="1" applyFont="1" applyBorder="1">
      <alignment vertical="center"/>
    </xf>
    <xf numFmtId="0" fontId="5" fillId="0" borderId="31" xfId="0" applyNumberFormat="1" applyFont="1" applyBorder="1">
      <alignment vertical="center"/>
    </xf>
    <xf numFmtId="0" fontId="5" fillId="0" borderId="37" xfId="0" applyNumberFormat="1" applyFont="1" applyBorder="1">
      <alignment vertical="center"/>
    </xf>
    <xf numFmtId="0" fontId="5" fillId="0" borderId="43" xfId="0" applyNumberFormat="1" applyFont="1" applyBorder="1">
      <alignment vertical="center"/>
    </xf>
    <xf numFmtId="0" fontId="5" fillId="0" borderId="17" xfId="0" applyNumberFormat="1" applyFont="1" applyBorder="1">
      <alignment vertical="center"/>
    </xf>
    <xf numFmtId="0" fontId="5" fillId="0" borderId="15" xfId="0" applyNumberFormat="1" applyFont="1" applyBorder="1">
      <alignment vertical="center"/>
    </xf>
    <xf numFmtId="0" fontId="5" fillId="0" borderId="21" xfId="0" applyNumberFormat="1" applyFont="1" applyBorder="1">
      <alignment vertical="center"/>
    </xf>
    <xf numFmtId="0" fontId="5" fillId="0" borderId="34" xfId="0" applyNumberFormat="1" applyFont="1" applyBorder="1">
      <alignment vertical="center"/>
    </xf>
    <xf numFmtId="0" fontId="5" fillId="0" borderId="26" xfId="0" applyNumberFormat="1" applyFont="1" applyBorder="1">
      <alignment vertical="center"/>
    </xf>
    <xf numFmtId="0" fontId="5" fillId="0" borderId="41" xfId="0" applyNumberFormat="1" applyFont="1" applyBorder="1">
      <alignment vertical="center"/>
    </xf>
    <xf numFmtId="193" fontId="0" fillId="0" borderId="63" xfId="0" applyNumberFormat="1" applyFill="1" applyBorder="1">
      <alignment vertical="center"/>
    </xf>
    <xf numFmtId="190" fontId="0" fillId="0" borderId="0" xfId="0" applyNumberFormat="1">
      <alignment vertical="center"/>
    </xf>
    <xf numFmtId="178" fontId="0" fillId="0" borderId="0" xfId="0" applyNumberFormat="1">
      <alignment vertical="center"/>
    </xf>
    <xf numFmtId="190" fontId="0" fillId="37" borderId="0" xfId="0" applyNumberFormat="1" applyFill="1">
      <alignment vertical="center"/>
    </xf>
    <xf numFmtId="0" fontId="0" fillId="0" borderId="7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93" fontId="0" fillId="0" borderId="92" xfId="0" applyNumberFormat="1" applyBorder="1">
      <alignment vertical="center"/>
    </xf>
    <xf numFmtId="0" fontId="0" fillId="0" borderId="92" xfId="0" applyBorder="1">
      <alignment vertical="center"/>
    </xf>
    <xf numFmtId="190" fontId="0" fillId="0" borderId="92" xfId="0" applyNumberFormat="1" applyBorder="1">
      <alignment vertical="center"/>
    </xf>
    <xf numFmtId="178" fontId="0" fillId="0" borderId="92" xfId="0" applyNumberFormat="1" applyBorder="1">
      <alignment vertical="center"/>
    </xf>
    <xf numFmtId="190" fontId="0" fillId="0" borderId="63" xfId="0" applyNumberFormat="1" applyBorder="1">
      <alignment vertical="center"/>
    </xf>
    <xf numFmtId="190" fontId="0" fillId="0" borderId="93" xfId="0" applyNumberFormat="1" applyBorder="1">
      <alignment vertical="center"/>
    </xf>
    <xf numFmtId="192" fontId="0" fillId="0" borderId="92" xfId="0" applyNumberFormat="1" applyBorder="1">
      <alignment vertical="center"/>
    </xf>
    <xf numFmtId="0" fontId="0" fillId="38" borderId="0" xfId="0" applyFill="1">
      <alignment vertical="center"/>
    </xf>
    <xf numFmtId="0" fontId="5" fillId="40" borderId="23" xfId="0" applyFont="1" applyFill="1" applyBorder="1">
      <alignment vertical="center"/>
    </xf>
    <xf numFmtId="0" fontId="5" fillId="40" borderId="24" xfId="0" applyFont="1" applyFill="1" applyBorder="1">
      <alignment vertical="center"/>
    </xf>
    <xf numFmtId="0" fontId="5" fillId="40" borderId="38" xfId="0" applyFont="1" applyFill="1" applyBorder="1">
      <alignment vertical="center"/>
    </xf>
    <xf numFmtId="0" fontId="5" fillId="40" borderId="32" xfId="0" applyFont="1" applyFill="1" applyBorder="1">
      <alignment vertical="center"/>
    </xf>
    <xf numFmtId="0" fontId="5" fillId="40" borderId="36" xfId="0" applyFont="1" applyFill="1" applyBorder="1">
      <alignment vertical="center"/>
    </xf>
    <xf numFmtId="0" fontId="5" fillId="40" borderId="22" xfId="0" applyFont="1" applyFill="1" applyBorder="1">
      <alignment vertical="center"/>
    </xf>
    <xf numFmtId="0" fontId="5" fillId="40" borderId="30" xfId="0" applyFont="1" applyFill="1" applyBorder="1">
      <alignment vertical="center"/>
    </xf>
    <xf numFmtId="0" fontId="5" fillId="40" borderId="37" xfId="0" applyFont="1" applyFill="1" applyBorder="1">
      <alignment vertical="center"/>
    </xf>
    <xf numFmtId="0" fontId="5" fillId="40" borderId="31" xfId="0" applyFont="1" applyFill="1" applyBorder="1">
      <alignment vertical="center"/>
    </xf>
    <xf numFmtId="0" fontId="5" fillId="40" borderId="26" xfId="0" applyFont="1" applyFill="1" applyBorder="1">
      <alignment vertical="center"/>
    </xf>
    <xf numFmtId="0" fontId="5" fillId="40" borderId="21" xfId="0" applyFont="1" applyFill="1" applyBorder="1">
      <alignment vertical="center"/>
    </xf>
    <xf numFmtId="0" fontId="5" fillId="40" borderId="34" xfId="0" applyFont="1" applyFill="1" applyBorder="1">
      <alignment vertical="center"/>
    </xf>
    <xf numFmtId="0" fontId="5" fillId="40" borderId="24" xfId="0" applyFont="1" applyFill="1" applyBorder="1" applyAlignment="1">
      <alignment horizontal="right" vertical="center"/>
    </xf>
    <xf numFmtId="0" fontId="5" fillId="40" borderId="32" xfId="0" applyFont="1" applyFill="1" applyBorder="1" applyAlignment="1">
      <alignment horizontal="right" vertical="center"/>
    </xf>
    <xf numFmtId="0" fontId="5" fillId="40" borderId="38" xfId="0" applyFont="1" applyFill="1" applyBorder="1" applyAlignment="1">
      <alignment horizontal="right" vertical="center"/>
    </xf>
    <xf numFmtId="0" fontId="5" fillId="40" borderId="36" xfId="0" applyFont="1" applyFill="1" applyBorder="1" applyAlignment="1">
      <alignment horizontal="right" vertical="center"/>
    </xf>
    <xf numFmtId="0" fontId="5" fillId="40" borderId="22" xfId="0" applyFont="1" applyFill="1" applyBorder="1" applyAlignment="1">
      <alignment horizontal="right" vertical="center"/>
    </xf>
    <xf numFmtId="0" fontId="5" fillId="40" borderId="30" xfId="0" applyFont="1" applyFill="1" applyBorder="1" applyAlignment="1">
      <alignment horizontal="right" vertical="center"/>
    </xf>
    <xf numFmtId="0" fontId="5" fillId="40" borderId="26" xfId="0" applyFont="1" applyFill="1" applyBorder="1" applyAlignment="1">
      <alignment horizontal="right" vertical="center"/>
    </xf>
    <xf numFmtId="0" fontId="5" fillId="40" borderId="21" xfId="0" applyFont="1" applyFill="1" applyBorder="1" applyAlignment="1">
      <alignment horizontal="right" vertical="center"/>
    </xf>
    <xf numFmtId="0" fontId="5" fillId="40" borderId="37" xfId="0" applyFont="1" applyFill="1" applyBorder="1" applyAlignment="1">
      <alignment horizontal="right" vertical="center"/>
    </xf>
    <xf numFmtId="0" fontId="5" fillId="40" borderId="23" xfId="0" applyFont="1" applyFill="1" applyBorder="1" applyAlignment="1">
      <alignment horizontal="right" vertical="center"/>
    </xf>
    <xf numFmtId="0" fontId="5" fillId="40" borderId="31" xfId="0" applyFont="1" applyFill="1" applyBorder="1" applyAlignment="1">
      <alignment horizontal="right" vertical="center"/>
    </xf>
    <xf numFmtId="0" fontId="5" fillId="40" borderId="25" xfId="0" applyFont="1" applyFill="1" applyBorder="1">
      <alignment vertical="center"/>
    </xf>
    <xf numFmtId="0" fontId="5" fillId="40" borderId="38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40" borderId="32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40" borderId="36" xfId="0" applyFont="1" applyFill="1" applyBorder="1" applyAlignment="1">
      <alignment horizontal="center" vertical="center"/>
    </xf>
    <xf numFmtId="0" fontId="5" fillId="41" borderId="16" xfId="0" applyFont="1" applyFill="1" applyBorder="1">
      <alignment vertical="center"/>
    </xf>
    <xf numFmtId="181" fontId="5" fillId="41" borderId="15" xfId="0" applyNumberFormat="1" applyFont="1" applyFill="1" applyBorder="1">
      <alignment vertical="center"/>
    </xf>
    <xf numFmtId="0" fontId="5" fillId="41" borderId="22" xfId="0" applyFont="1" applyFill="1" applyBorder="1">
      <alignment vertical="center"/>
    </xf>
    <xf numFmtId="0" fontId="5" fillId="41" borderId="21" xfId="0" applyFont="1" applyFill="1" applyBorder="1">
      <alignment vertical="center"/>
    </xf>
    <xf numFmtId="181" fontId="5" fillId="41" borderId="21" xfId="0" applyNumberFormat="1" applyFont="1" applyFill="1" applyBorder="1">
      <alignment vertical="center"/>
    </xf>
    <xf numFmtId="0" fontId="5" fillId="41" borderId="30" xfId="0" applyFont="1" applyFill="1" applyBorder="1">
      <alignment vertical="center"/>
    </xf>
    <xf numFmtId="0" fontId="5" fillId="41" borderId="34" xfId="0" applyFont="1" applyFill="1" applyBorder="1">
      <alignment vertical="center"/>
    </xf>
    <xf numFmtId="0" fontId="5" fillId="41" borderId="36" xfId="0" applyFont="1" applyFill="1" applyBorder="1">
      <alignment vertical="center"/>
    </xf>
    <xf numFmtId="0" fontId="5" fillId="41" borderId="26" xfId="0" applyFont="1" applyFill="1" applyBorder="1">
      <alignment vertical="center"/>
    </xf>
    <xf numFmtId="0" fontId="5" fillId="41" borderId="42" xfId="0" applyFont="1" applyFill="1" applyBorder="1">
      <alignment vertical="center"/>
    </xf>
    <xf numFmtId="0" fontId="5" fillId="41" borderId="41" xfId="0" applyFont="1" applyFill="1" applyBorder="1">
      <alignment vertical="center"/>
    </xf>
    <xf numFmtId="0" fontId="5" fillId="40" borderId="39" xfId="0" applyFont="1" applyFill="1" applyBorder="1">
      <alignment vertical="center"/>
    </xf>
    <xf numFmtId="0" fontId="5" fillId="40" borderId="33" xfId="0" applyFont="1" applyFill="1" applyBorder="1">
      <alignment vertical="center"/>
    </xf>
    <xf numFmtId="0" fontId="5" fillId="40" borderId="38" xfId="0" applyFont="1" applyFill="1" applyBorder="1" applyAlignment="1">
      <alignment vertical="center" shrinkToFit="1"/>
    </xf>
    <xf numFmtId="0" fontId="5" fillId="40" borderId="24" xfId="0" applyFont="1" applyFill="1" applyBorder="1" applyAlignment="1">
      <alignment vertical="center" shrinkToFit="1"/>
    </xf>
    <xf numFmtId="0" fontId="5" fillId="40" borderId="37" xfId="0" applyFont="1" applyFill="1" applyBorder="1" applyAlignment="1">
      <alignment vertical="center" shrinkToFit="1"/>
    </xf>
    <xf numFmtId="0" fontId="5" fillId="40" borderId="23" xfId="0" applyFont="1" applyFill="1" applyBorder="1" applyAlignment="1">
      <alignment vertical="center" shrinkToFit="1"/>
    </xf>
    <xf numFmtId="0" fontId="5" fillId="40" borderId="34" xfId="0" applyFont="1" applyFill="1" applyBorder="1" applyAlignment="1">
      <alignment horizontal="right" vertical="center"/>
    </xf>
    <xf numFmtId="0" fontId="5" fillId="40" borderId="39" xfId="0" applyFont="1" applyFill="1" applyBorder="1" applyAlignment="1">
      <alignment horizontal="right" vertical="center"/>
    </xf>
    <xf numFmtId="0" fontId="5" fillId="40" borderId="25" xfId="0" applyFont="1" applyFill="1" applyBorder="1" applyAlignment="1">
      <alignment horizontal="right" vertical="center"/>
    </xf>
    <xf numFmtId="0" fontId="5" fillId="40" borderId="33" xfId="0" applyFont="1" applyFill="1" applyBorder="1" applyAlignment="1">
      <alignment horizontal="right" vertical="center"/>
    </xf>
    <xf numFmtId="193" fontId="0" fillId="0" borderId="0" xfId="0" applyNumberFormat="1" applyFill="1">
      <alignment vertical="center"/>
    </xf>
    <xf numFmtId="193" fontId="0" fillId="38" borderId="0" xfId="0" applyNumberFormat="1" applyFill="1">
      <alignment vertical="center"/>
    </xf>
    <xf numFmtId="190" fontId="0" fillId="0" borderId="0" xfId="0" applyNumberFormat="1" applyFill="1">
      <alignment vertical="center"/>
    </xf>
    <xf numFmtId="190" fontId="0" fillId="0" borderId="0" xfId="0" applyNumberFormat="1" applyBorder="1">
      <alignment vertical="center"/>
    </xf>
    <xf numFmtId="193" fontId="0" fillId="0" borderId="49" xfId="0" applyNumberFormat="1" applyBorder="1">
      <alignment vertical="center"/>
    </xf>
    <xf numFmtId="193" fontId="0" fillId="0" borderId="87" xfId="0" applyNumberFormat="1" applyBorder="1">
      <alignment vertical="center"/>
    </xf>
    <xf numFmtId="192" fontId="0" fillId="0" borderId="0" xfId="0" applyNumberFormat="1" applyBorder="1">
      <alignment vertical="center"/>
    </xf>
    <xf numFmtId="192" fontId="0" fillId="0" borderId="49" xfId="0" applyNumberFormat="1" applyBorder="1">
      <alignment vertical="center"/>
    </xf>
    <xf numFmtId="192" fontId="0" fillId="0" borderId="87" xfId="0" applyNumberFormat="1" applyBorder="1">
      <alignment vertical="center"/>
    </xf>
    <xf numFmtId="192" fontId="0" fillId="38" borderId="0" xfId="0" applyNumberFormat="1" applyFill="1">
      <alignment vertical="center"/>
    </xf>
    <xf numFmtId="178" fontId="0" fillId="38" borderId="0" xfId="0" applyNumberFormat="1" applyFill="1">
      <alignment vertical="center"/>
    </xf>
    <xf numFmtId="193" fontId="0" fillId="38" borderId="49" xfId="0" applyNumberFormat="1" applyFill="1" applyBorder="1">
      <alignment vertical="center"/>
    </xf>
    <xf numFmtId="192" fontId="0" fillId="38" borderId="49" xfId="0" applyNumberFormat="1" applyFill="1" applyBorder="1">
      <alignment vertical="center"/>
    </xf>
    <xf numFmtId="193" fontId="0" fillId="38" borderId="0" xfId="0" applyNumberFormat="1" applyFill="1" applyBorder="1">
      <alignment vertical="center"/>
    </xf>
    <xf numFmtId="192" fontId="0" fillId="38" borderId="0" xfId="0" applyNumberFormat="1" applyFill="1" applyBorder="1">
      <alignment vertical="center"/>
    </xf>
    <xf numFmtId="0" fontId="5" fillId="0" borderId="65" xfId="0" applyFont="1" applyFill="1" applyBorder="1" applyAlignment="1">
      <alignment horizontal="center" vertical="center" shrinkToFit="1"/>
    </xf>
    <xf numFmtId="0" fontId="0" fillId="0" borderId="65" xfId="0" applyBorder="1">
      <alignment vertical="center"/>
    </xf>
    <xf numFmtId="0" fontId="0" fillId="0" borderId="49" xfId="0" applyFill="1" applyBorder="1" applyAlignment="1">
      <alignment horizontal="center" vertical="center"/>
    </xf>
    <xf numFmtId="190" fontId="0" fillId="39" borderId="0" xfId="0" applyNumberFormat="1" applyFill="1">
      <alignment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2" borderId="100" xfId="0" applyFill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13" fillId="4" borderId="54" xfId="172" applyNumberFormat="1" applyFont="1" applyFill="1" applyBorder="1" applyAlignment="1">
      <alignment horizontal="center" vertical="center"/>
    </xf>
    <xf numFmtId="178" fontId="13" fillId="4" borderId="61" xfId="172" applyNumberFormat="1" applyFont="1" applyFill="1" applyBorder="1" applyAlignment="1">
      <alignment horizontal="center" vertical="center"/>
    </xf>
    <xf numFmtId="178" fontId="13" fillId="4" borderId="94" xfId="172" applyNumberFormat="1" applyFont="1" applyFill="1" applyBorder="1" applyAlignment="1">
      <alignment horizontal="center" vertical="center"/>
    </xf>
    <xf numFmtId="178" fontId="13" fillId="4" borderId="57" xfId="172" applyNumberFormat="1" applyFont="1" applyFill="1" applyBorder="1" applyAlignment="1">
      <alignment horizontal="center" vertical="center"/>
    </xf>
    <xf numFmtId="178" fontId="13" fillId="0" borderId="55" xfId="172" applyNumberFormat="1" applyFont="1" applyFill="1" applyBorder="1" applyAlignment="1">
      <alignment horizontal="center" vertical="center"/>
    </xf>
    <xf numFmtId="178" fontId="13" fillId="0" borderId="62" xfId="172" applyNumberFormat="1" applyFont="1" applyFill="1" applyBorder="1" applyAlignment="1">
      <alignment horizontal="center" vertical="center"/>
    </xf>
    <xf numFmtId="178" fontId="13" fillId="4" borderId="103" xfId="172" applyNumberFormat="1" applyFont="1" applyFill="1" applyBorder="1" applyAlignment="1">
      <alignment horizontal="center" vertical="center"/>
    </xf>
    <xf numFmtId="178" fontId="13" fillId="4" borderId="81" xfId="172" applyNumberFormat="1" applyFont="1" applyFill="1" applyBorder="1" applyAlignment="1">
      <alignment horizontal="center" vertical="center"/>
    </xf>
    <xf numFmtId="178" fontId="13" fillId="0" borderId="54" xfId="172" applyNumberFormat="1" applyFont="1" applyFill="1" applyBorder="1" applyAlignment="1">
      <alignment horizontal="center" vertical="center"/>
    </xf>
    <xf numFmtId="178" fontId="13" fillId="0" borderId="61" xfId="172" applyNumberFormat="1" applyFont="1" applyFill="1" applyBorder="1" applyAlignment="1">
      <alignment horizontal="center" vertical="center"/>
    </xf>
    <xf numFmtId="176" fontId="14" fillId="0" borderId="2" xfId="172" applyNumberFormat="1" applyFont="1" applyBorder="1" applyAlignment="1">
      <alignment horizontal="center"/>
    </xf>
    <xf numFmtId="176" fontId="13" fillId="0" borderId="3" xfId="172" applyNumberFormat="1" applyFont="1" applyBorder="1" applyAlignment="1">
      <alignment horizontal="center"/>
    </xf>
    <xf numFmtId="177" fontId="13" fillId="0" borderId="54" xfId="172" applyNumberFormat="1" applyFont="1" applyFill="1" applyBorder="1" applyAlignment="1">
      <alignment horizontal="center" vertical="center"/>
    </xf>
    <xf numFmtId="177" fontId="13" fillId="0" borderId="61" xfId="172" applyNumberFormat="1" applyFont="1" applyFill="1" applyBorder="1" applyAlignment="1">
      <alignment horizontal="center" vertical="center"/>
    </xf>
    <xf numFmtId="0" fontId="13" fillId="0" borderId="2" xfId="172" applyFont="1" applyBorder="1" applyAlignment="1">
      <alignment horizontal="center"/>
    </xf>
    <xf numFmtId="0" fontId="13" fillId="0" borderId="4" xfId="172" applyFont="1" applyBorder="1" applyAlignment="1">
      <alignment horizontal="center"/>
    </xf>
    <xf numFmtId="0" fontId="13" fillId="0" borderId="104" xfId="172" applyFont="1" applyBorder="1" applyAlignment="1">
      <alignment horizontal="center"/>
    </xf>
    <xf numFmtId="176" fontId="14" fillId="0" borderId="105" xfId="172" applyNumberFormat="1" applyFont="1" applyBorder="1" applyAlignment="1">
      <alignment horizontal="center"/>
    </xf>
    <xf numFmtId="176" fontId="13" fillId="0" borderId="51" xfId="172" applyNumberFormat="1" applyFont="1" applyBorder="1" applyAlignment="1">
      <alignment horizontal="center"/>
    </xf>
    <xf numFmtId="0" fontId="14" fillId="0" borderId="105" xfId="172" applyFont="1" applyFill="1" applyBorder="1" applyAlignment="1">
      <alignment horizontal="center"/>
    </xf>
    <xf numFmtId="0" fontId="13" fillId="0" borderId="51" xfId="172" applyFont="1" applyFill="1" applyBorder="1" applyAlignment="1">
      <alignment horizontal="center"/>
    </xf>
    <xf numFmtId="0" fontId="13" fillId="0" borderId="106" xfId="172" applyFont="1" applyFill="1" applyBorder="1" applyAlignment="1">
      <alignment horizontal="center"/>
    </xf>
    <xf numFmtId="178" fontId="14" fillId="0" borderId="105" xfId="172" applyNumberFormat="1" applyFont="1" applyFill="1" applyBorder="1" applyAlignment="1">
      <alignment horizontal="center"/>
    </xf>
    <xf numFmtId="178" fontId="13" fillId="0" borderId="51" xfId="172" applyNumberFormat="1" applyFont="1" applyFill="1" applyBorder="1" applyAlignment="1">
      <alignment horizontal="center"/>
    </xf>
    <xf numFmtId="178" fontId="13" fillId="0" borderId="52" xfId="172" applyNumberFormat="1" applyFont="1" applyFill="1" applyBorder="1" applyAlignment="1">
      <alignment horizontal="center"/>
    </xf>
    <xf numFmtId="178" fontId="14" fillId="4" borderId="107" xfId="172" applyNumberFormat="1" applyFont="1" applyFill="1" applyBorder="1" applyAlignment="1">
      <alignment horizontal="center"/>
    </xf>
    <xf numFmtId="178" fontId="13" fillId="4" borderId="51" xfId="172" applyNumberFormat="1" applyFont="1" applyFill="1" applyBorder="1" applyAlignment="1">
      <alignment horizontal="center"/>
    </xf>
    <xf numFmtId="0" fontId="14" fillId="0" borderId="105" xfId="172" applyFont="1" applyBorder="1" applyAlignment="1">
      <alignment horizontal="center"/>
    </xf>
    <xf numFmtId="0" fontId="13" fillId="0" borderId="51" xfId="172" applyFont="1" applyBorder="1" applyAlignment="1">
      <alignment horizontal="center"/>
    </xf>
    <xf numFmtId="0" fontId="13" fillId="0" borderId="106" xfId="172" applyFont="1" applyBorder="1" applyAlignment="1">
      <alignment horizontal="center"/>
    </xf>
    <xf numFmtId="0" fontId="13" fillId="0" borderId="105" xfId="172" applyFont="1" applyBorder="1" applyAlignment="1">
      <alignment horizontal="center"/>
    </xf>
    <xf numFmtId="0" fontId="13" fillId="0" borderId="52" xfId="172" applyFont="1" applyBorder="1" applyAlignment="1">
      <alignment horizontal="center"/>
    </xf>
    <xf numFmtId="178" fontId="14" fillId="4" borderId="105" xfId="172" applyNumberFormat="1" applyFont="1" applyFill="1" applyBorder="1" applyAlignment="1">
      <alignment horizontal="center"/>
    </xf>
    <xf numFmtId="178" fontId="0" fillId="0" borderId="0" xfId="0" applyNumberFormat="1" applyFill="1">
      <alignment vertical="center"/>
    </xf>
    <xf numFmtId="193" fontId="0" fillId="0" borderId="75" xfId="0" applyNumberFormat="1" applyBorder="1">
      <alignment vertical="center"/>
    </xf>
    <xf numFmtId="190" fontId="0" fillId="0" borderId="74" xfId="0" applyNumberFormat="1" applyBorder="1">
      <alignment vertical="center"/>
    </xf>
    <xf numFmtId="190" fontId="0" fillId="0" borderId="49" xfId="0" applyNumberFormat="1" applyBorder="1">
      <alignment vertical="center"/>
    </xf>
    <xf numFmtId="193" fontId="0" fillId="0" borderId="74" xfId="0" applyNumberFormat="1" applyBorder="1">
      <alignment vertical="center"/>
    </xf>
    <xf numFmtId="193" fontId="0" fillId="0" borderId="76" xfId="0" applyNumberFormat="1" applyBorder="1">
      <alignment vertical="center"/>
    </xf>
    <xf numFmtId="178" fontId="0" fillId="0" borderId="49" xfId="0" applyNumberFormat="1" applyBorder="1">
      <alignment vertical="center"/>
    </xf>
    <xf numFmtId="190" fontId="0" fillId="37" borderId="49" xfId="0" applyNumberFormat="1" applyFill="1" applyBorder="1">
      <alignment vertical="center"/>
    </xf>
    <xf numFmtId="0" fontId="0" fillId="0" borderId="3" xfId="0" applyBorder="1">
      <alignment vertical="center"/>
    </xf>
  </cellXfs>
  <cellStyles count="178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メモ 2" xfId="109"/>
    <cellStyle name="メモ 3" xfId="110"/>
    <cellStyle name="メモ 4" xfId="111"/>
    <cellStyle name="メモ 5" xfId="112"/>
    <cellStyle name="リンク セル 2" xfId="113"/>
    <cellStyle name="リンク セル 3" xfId="114"/>
    <cellStyle name="リンク セル 4" xfId="115"/>
    <cellStyle name="リンク セル 5" xfId="116"/>
    <cellStyle name="悪い 2" xfId="117"/>
    <cellStyle name="悪い 3" xfId="118"/>
    <cellStyle name="悪い 4" xfId="119"/>
    <cellStyle name="悪い 5" xfId="120"/>
    <cellStyle name="計算 2" xfId="121"/>
    <cellStyle name="計算 3" xfId="122"/>
    <cellStyle name="計算 4" xfId="123"/>
    <cellStyle name="計算 5" xfId="124"/>
    <cellStyle name="警告文 2" xfId="125"/>
    <cellStyle name="警告文 3" xfId="126"/>
    <cellStyle name="警告文 4" xfId="127"/>
    <cellStyle name="警告文 5" xfId="128"/>
    <cellStyle name="桁区切り 2" xfId="129"/>
    <cellStyle name="見出し 1 2" xfId="130"/>
    <cellStyle name="見出し 1 3" xfId="131"/>
    <cellStyle name="見出し 1 4" xfId="132"/>
    <cellStyle name="見出し 1 5" xfId="133"/>
    <cellStyle name="見出し 2 2" xfId="134"/>
    <cellStyle name="見出し 2 3" xfId="135"/>
    <cellStyle name="見出し 2 4" xfId="136"/>
    <cellStyle name="見出し 2 5" xfId="137"/>
    <cellStyle name="見出し 3 2" xfId="138"/>
    <cellStyle name="見出し 3 3" xfId="139"/>
    <cellStyle name="見出し 3 4" xfId="140"/>
    <cellStyle name="見出し 3 5" xfId="141"/>
    <cellStyle name="見出し 4 2" xfId="142"/>
    <cellStyle name="見出し 4 3" xfId="143"/>
    <cellStyle name="見出し 4 4" xfId="144"/>
    <cellStyle name="見出し 4 5" xfId="145"/>
    <cellStyle name="集計 2" xfId="146"/>
    <cellStyle name="集計 3" xfId="147"/>
    <cellStyle name="集計 4" xfId="148"/>
    <cellStyle name="集計 5" xfId="149"/>
    <cellStyle name="出力 2" xfId="150"/>
    <cellStyle name="出力 3" xfId="151"/>
    <cellStyle name="出力 4" xfId="152"/>
    <cellStyle name="出力 5" xfId="153"/>
    <cellStyle name="説明文 2" xfId="154"/>
    <cellStyle name="説明文 3" xfId="155"/>
    <cellStyle name="説明文 4" xfId="156"/>
    <cellStyle name="説明文 5" xfId="157"/>
    <cellStyle name="入力 2" xfId="158"/>
    <cellStyle name="入力 3" xfId="159"/>
    <cellStyle name="入力 4" xfId="160"/>
    <cellStyle name="入力 5" xfId="161"/>
    <cellStyle name="標準" xfId="0" builtinId="0"/>
    <cellStyle name="標準 2" xfId="162"/>
    <cellStyle name="標準 2 2" xfId="163"/>
    <cellStyle name="標準 3" xfId="164"/>
    <cellStyle name="標準 3 2" xfId="165"/>
    <cellStyle name="標準 4" xfId="166"/>
    <cellStyle name="標準 4 2" xfId="167"/>
    <cellStyle name="標準 5" xfId="168"/>
    <cellStyle name="標準 6" xfId="169"/>
    <cellStyle name="標準 7" xfId="170"/>
    <cellStyle name="標準 8" xfId="171"/>
    <cellStyle name="標準_4段FP結果計算表(案)" xfId="172"/>
    <cellStyle name="良い 2" xfId="173"/>
    <cellStyle name="良い 3" xfId="174"/>
    <cellStyle name="良い 4" xfId="175"/>
    <cellStyle name="良い 5" xfId="176"/>
    <cellStyle name="㼿㼿?" xfId="177"/>
  </cellStyles>
  <dxfs count="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sz="2000"/>
              <a:t>土浦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27.0µg/m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278481012658228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(2)'!$A$2</c:f>
              <c:strCache>
                <c:ptCount val="1"/>
                <c:pt idx="0">
                  <c:v>土浦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8F4-4233-B87D-3A879E1F8E7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F4-4233-B87D-3A879E1F8E74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8F4-4233-B87D-3A879E1F8E74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F4-4233-B87D-3A879E1F8E74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8F4-4233-B87D-3A879E1F8E74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F4-4233-B87D-3A879E1F8E74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8F4-4233-B87D-3A879E1F8E74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F4-4233-B87D-3A879E1F8E74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8F4-4233-B87D-3A879E1F8E74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F4-4233-B87D-3A879E1F8E74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8F4-4233-B87D-3A879E1F8E74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(2)'!$C$2:$M$2</c:f>
              <c:numCache>
                <c:formatCode>0.0_);[Red]\(0.0\)</c:formatCode>
                <c:ptCount val="11"/>
                <c:pt idx="0" formatCode="0.00_);[Red]\(0.00\)">
                  <c:v>4.9928571428571435E-3</c:v>
                </c:pt>
                <c:pt idx="1">
                  <c:v>0.23485714285714285</c:v>
                </c:pt>
                <c:pt idx="2">
                  <c:v>9.9857142857142858</c:v>
                </c:pt>
                <c:pt idx="3">
                  <c:v>0.15057142857142858</c:v>
                </c:pt>
                <c:pt idx="4">
                  <c:v>3.7857142857142856</c:v>
                </c:pt>
                <c:pt idx="5">
                  <c:v>9.6000000000000002E-2</c:v>
                </c:pt>
                <c:pt idx="6" formatCode="0.00_);[Red]\(0.00\)">
                  <c:v>2.471428571428572E-2</c:v>
                </c:pt>
                <c:pt idx="7">
                  <c:v>4.9714285714285725E-2</c:v>
                </c:pt>
                <c:pt idx="8">
                  <c:v>4.4571428571428573</c:v>
                </c:pt>
                <c:pt idx="9">
                  <c:v>0.87285714285714289</c:v>
                </c:pt>
                <c:pt idx="10">
                  <c:v>7.3377214285714274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F4-4233-B87D-3A879E1F8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富津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25.3µg/m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856540084388185"/>
          <c:y val="0.3564816379472580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(2)'!$A$11</c:f>
              <c:strCache>
                <c:ptCount val="1"/>
                <c:pt idx="0">
                  <c:v>富津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800-4C78-8BE5-743B4B21E55C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00-4C78-8BE5-743B4B21E55C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00-4C78-8BE5-743B4B21E55C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00-4C78-8BE5-743B4B21E55C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00-4C78-8BE5-743B4B21E55C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00-4C78-8BE5-743B4B21E55C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800-4C78-8BE5-743B4B21E55C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00-4C78-8BE5-743B4B21E55C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800-4C78-8BE5-743B4B21E55C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00-4C78-8BE5-743B4B21E55C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800-4C78-8BE5-743B4B21E55C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(2)'!$C$11:$M$11</c:f>
              <c:numCache>
                <c:formatCode>0.0_);[Red]\(0.0\)</c:formatCode>
                <c:ptCount val="11"/>
                <c:pt idx="0" formatCode="0.00_);[Red]\(0.00\)">
                  <c:v>4.7999999999999994E-2</c:v>
                </c:pt>
                <c:pt idx="1">
                  <c:v>5.671428571428571E-2</c:v>
                </c:pt>
                <c:pt idx="2">
                  <c:v>10.914285714285715</c:v>
                </c:pt>
                <c:pt idx="3">
                  <c:v>0.20571428571428574</c:v>
                </c:pt>
                <c:pt idx="4">
                  <c:v>3.657142857142857</c:v>
                </c:pt>
                <c:pt idx="5">
                  <c:v>9.0857142857142859E-2</c:v>
                </c:pt>
                <c:pt idx="6" formatCode="0.00_);[Red]\(0.00\)">
                  <c:v>2.8142857142857147E-2</c:v>
                </c:pt>
                <c:pt idx="7">
                  <c:v>0.19742857142857143</c:v>
                </c:pt>
                <c:pt idx="8">
                  <c:v>2.6428571428571423</c:v>
                </c:pt>
                <c:pt idx="9">
                  <c:v>0.98571428571428565</c:v>
                </c:pt>
                <c:pt idx="10">
                  <c:v>6.4588571428571449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00-4C78-8BE5-743B4B21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千葉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24.7µg/m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434599156118148"/>
          <c:y val="0.3564816379472580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(2)'!$A$12</c:f>
              <c:strCache>
                <c:ptCount val="1"/>
                <c:pt idx="0">
                  <c:v>千葉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E38-422F-81F2-36683DF7CED3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38-422F-81F2-36683DF7CED3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E38-422F-81F2-36683DF7CED3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38-422F-81F2-36683DF7CED3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E38-422F-81F2-36683DF7CED3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38-422F-81F2-36683DF7CED3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E38-422F-81F2-36683DF7CED3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38-422F-81F2-36683DF7CED3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E38-422F-81F2-36683DF7CED3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E38-422F-81F2-36683DF7CED3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E38-422F-81F2-36683DF7CED3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(2)'!$C$12:$M$12</c:f>
              <c:numCache>
                <c:formatCode>0.0_);[Red]\(0.0\)</c:formatCode>
                <c:ptCount val="11"/>
                <c:pt idx="0" formatCode="0.00_);[Red]\(0.00\)">
                  <c:v>3.842857142857143E-2</c:v>
                </c:pt>
                <c:pt idx="1">
                  <c:v>0.15357142857142861</c:v>
                </c:pt>
                <c:pt idx="2">
                  <c:v>11.357142857142858</c:v>
                </c:pt>
                <c:pt idx="3">
                  <c:v>0.15771428571428572</c:v>
                </c:pt>
                <c:pt idx="4">
                  <c:v>4.1285714285714281</c:v>
                </c:pt>
                <c:pt idx="5">
                  <c:v>0.15071428571428575</c:v>
                </c:pt>
                <c:pt idx="6" formatCode="0.00_);[Red]\(0.00\)">
                  <c:v>3.3714285714285717E-2</c:v>
                </c:pt>
                <c:pt idx="7">
                  <c:v>4.9285714285714287E-2</c:v>
                </c:pt>
                <c:pt idx="8">
                  <c:v>4.0571428571428569</c:v>
                </c:pt>
                <c:pt idx="9">
                  <c:v>1.357142857142857</c:v>
                </c:pt>
                <c:pt idx="10">
                  <c:v>3.1772857142851016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38-422F-81F2-36683DF7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綾瀬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28.1µg/m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278481012658228"/>
          <c:y val="0.3564816379472580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(2)'!$A$13</c:f>
              <c:strCache>
                <c:ptCount val="1"/>
                <c:pt idx="0">
                  <c:v>綾瀬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1AD-499B-A940-99265F72E4A6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D-499B-A940-99265F72E4A6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1AD-499B-A940-99265F72E4A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D-499B-A940-99265F72E4A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1AD-499B-A940-99265F72E4A6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D-499B-A940-99265F72E4A6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1AD-499B-A940-99265F72E4A6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AD-499B-A940-99265F72E4A6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1AD-499B-A940-99265F72E4A6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AD-499B-A940-99265F72E4A6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1AD-499B-A940-99265F72E4A6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(2)'!$C$13:$M$13</c:f>
              <c:numCache>
                <c:formatCode>0.0_);[Red]\(0.0\)</c:formatCode>
                <c:ptCount val="11"/>
                <c:pt idx="0" formatCode="0.00_);[Red]\(0.00\)">
                  <c:v>6.6285714285714295E-2</c:v>
                </c:pt>
                <c:pt idx="1">
                  <c:v>0.44285714285714295</c:v>
                </c:pt>
                <c:pt idx="2">
                  <c:v>6.6571428571428566</c:v>
                </c:pt>
                <c:pt idx="3">
                  <c:v>0.12028571428571429</c:v>
                </c:pt>
                <c:pt idx="4">
                  <c:v>2.2714285714285718</c:v>
                </c:pt>
                <c:pt idx="5">
                  <c:v>8.357142857142856E-2</c:v>
                </c:pt>
                <c:pt idx="6" formatCode="0.00_);[Red]\(0.00\)">
                  <c:v>1.5714285714285715E-2</c:v>
                </c:pt>
                <c:pt idx="7">
                  <c:v>4.5714285714285721E-2</c:v>
                </c:pt>
                <c:pt idx="8">
                  <c:v>2.9714285714285715</c:v>
                </c:pt>
                <c:pt idx="9">
                  <c:v>1.642857142857143</c:v>
                </c:pt>
                <c:pt idx="10">
                  <c:v>13.782714285714285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AD-499B-A940-99265F72E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多摩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26.5µg/m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0126582278481"/>
          <c:y val="0.3564812821934923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(2)'!$A$14</c:f>
              <c:strCache>
                <c:ptCount val="1"/>
                <c:pt idx="0">
                  <c:v>多摩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D8B-4FAF-B12E-9C7B535B5B56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8B-4FAF-B12E-9C7B535B5B56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D8B-4FAF-B12E-9C7B535B5B5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8B-4FAF-B12E-9C7B535B5B5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D8B-4FAF-B12E-9C7B535B5B56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8B-4FAF-B12E-9C7B535B5B56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D8B-4FAF-B12E-9C7B535B5B56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8B-4FAF-B12E-9C7B535B5B56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D8B-4FAF-B12E-9C7B535B5B56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D8B-4FAF-B12E-9C7B535B5B56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D8B-4FAF-B12E-9C7B535B5B56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(2)'!$C$14:$M$14</c:f>
              <c:numCache>
                <c:formatCode>0.0_);[Red]\(0.0\)</c:formatCode>
                <c:ptCount val="11"/>
                <c:pt idx="0" formatCode="0.00_);[Red]\(0.00\)">
                  <c:v>8.5714285714285729E-2</c:v>
                </c:pt>
                <c:pt idx="1">
                  <c:v>0.34714285714285714</c:v>
                </c:pt>
                <c:pt idx="2">
                  <c:v>10.028571428571428</c:v>
                </c:pt>
                <c:pt idx="3">
                  <c:v>0.14371428571428571</c:v>
                </c:pt>
                <c:pt idx="4">
                  <c:v>3.4285714285714284</c:v>
                </c:pt>
                <c:pt idx="5">
                  <c:v>0.19214285714285712</c:v>
                </c:pt>
                <c:pt idx="6" formatCode="0.00_);[Red]\(0.00\)">
                  <c:v>2.6428571428571423E-2</c:v>
                </c:pt>
                <c:pt idx="7">
                  <c:v>3.7142857142857144E-2</c:v>
                </c:pt>
                <c:pt idx="8">
                  <c:v>2.9428571428571426</c:v>
                </c:pt>
                <c:pt idx="9">
                  <c:v>1.3285714285714287</c:v>
                </c:pt>
                <c:pt idx="10">
                  <c:v>7.9534285714285673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8B-4FAF-B12E-9C7B535B5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大和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25.2µg/m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278481012658228"/>
          <c:y val="0.3564812821934923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(2)'!$A$15</c:f>
              <c:strCache>
                <c:ptCount val="1"/>
                <c:pt idx="0">
                  <c:v>大和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A46-41BE-B187-DE7CD2968FC5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46-41BE-B187-DE7CD2968FC5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A46-41BE-B187-DE7CD2968FC5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46-41BE-B187-DE7CD2968FC5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A46-41BE-B187-DE7CD2968FC5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46-41BE-B187-DE7CD2968FC5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A46-41BE-B187-DE7CD2968FC5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46-41BE-B187-DE7CD2968FC5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A46-41BE-B187-DE7CD2968FC5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46-41BE-B187-DE7CD2968FC5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A46-41BE-B187-DE7CD2968FC5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(2)'!$C$15:$M$15</c:f>
              <c:numCache>
                <c:formatCode>0.0_);[Red]\(0.0\)</c:formatCode>
                <c:ptCount val="11"/>
                <c:pt idx="0" formatCode="0.00_);[Red]\(0.00\)">
                  <c:v>4.0500000000000001E-2</c:v>
                </c:pt>
                <c:pt idx="1">
                  <c:v>0.13</c:v>
                </c:pt>
                <c:pt idx="2">
                  <c:v>11.057142857142859</c:v>
                </c:pt>
                <c:pt idx="3">
                  <c:v>0.14835714285714285</c:v>
                </c:pt>
                <c:pt idx="4">
                  <c:v>3.7285714285714286</c:v>
                </c:pt>
                <c:pt idx="5">
                  <c:v>0.11</c:v>
                </c:pt>
                <c:pt idx="6" formatCode="0.00_);[Red]\(0.00\)">
                  <c:v>2.0571428571428574E-2</c:v>
                </c:pt>
                <c:pt idx="7">
                  <c:v>4.8285714285714286E-2</c:v>
                </c:pt>
                <c:pt idx="8">
                  <c:v>3.2857142857142851</c:v>
                </c:pt>
                <c:pt idx="9">
                  <c:v>1.3571428571428574</c:v>
                </c:pt>
                <c:pt idx="10">
                  <c:v>5.2880000000000038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46-41BE-B187-DE7CD2968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横浜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26.5µg/m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0590717299578057"/>
          <c:y val="0.3564812821934923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(2)'!$A$16</c:f>
              <c:strCache>
                <c:ptCount val="1"/>
                <c:pt idx="0">
                  <c:v>横浜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BA1-4CD3-AB6A-A7D6D79ECBAF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A1-4CD3-AB6A-A7D6D79ECBAF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BA1-4CD3-AB6A-A7D6D79ECBAF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A1-4CD3-AB6A-A7D6D79ECBA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BA1-4CD3-AB6A-A7D6D79ECBAF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A1-4CD3-AB6A-A7D6D79ECBAF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BA1-4CD3-AB6A-A7D6D79ECBAF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A1-4CD3-AB6A-A7D6D79ECBAF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BA1-4CD3-AB6A-A7D6D79ECBAF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BA1-4CD3-AB6A-A7D6D79ECBAF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BA1-4CD3-AB6A-A7D6D79ECBAF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(2)'!$C$16:$M$16</c:f>
              <c:numCache>
                <c:formatCode>0.0_);[Red]\(0.0\)</c:formatCode>
                <c:ptCount val="11"/>
                <c:pt idx="0" formatCode="0.00_);[Red]\(0.00\)">
                  <c:v>9.9999999999999985E-3</c:v>
                </c:pt>
                <c:pt idx="1">
                  <c:v>5.7142857142857141E-2</c:v>
                </c:pt>
                <c:pt idx="2">
                  <c:v>13.12857142857143</c:v>
                </c:pt>
                <c:pt idx="3">
                  <c:v>0.26714285714285713</c:v>
                </c:pt>
                <c:pt idx="4">
                  <c:v>4.7</c:v>
                </c:pt>
                <c:pt idx="5">
                  <c:v>0.18</c:v>
                </c:pt>
                <c:pt idx="6" formatCode="0.00_);[Red]\(0.00\)">
                  <c:v>3.8571428571428576E-2</c:v>
                </c:pt>
                <c:pt idx="7">
                  <c:v>0.12714285714285714</c:v>
                </c:pt>
                <c:pt idx="8">
                  <c:v>2.6999999999999997</c:v>
                </c:pt>
                <c:pt idx="9">
                  <c:v>1.2142857142857142</c:v>
                </c:pt>
                <c:pt idx="10">
                  <c:v>4.1057142857142814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A1-4CD3-AB6A-A7D6D79E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川崎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26.5µg/m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434599156118148"/>
          <c:y val="0.3564812821934923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(2)'!$A$17</c:f>
              <c:strCache>
                <c:ptCount val="1"/>
                <c:pt idx="0">
                  <c:v>川崎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BB0-4F0B-9471-27AA36CBE8F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B0-4F0B-9471-27AA36CBE8F4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BB0-4F0B-9471-27AA36CBE8F4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B0-4F0B-9471-27AA36CBE8F4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BB0-4F0B-9471-27AA36CBE8F4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B0-4F0B-9471-27AA36CBE8F4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BB0-4F0B-9471-27AA36CBE8F4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B0-4F0B-9471-27AA36CBE8F4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BB0-4F0B-9471-27AA36CBE8F4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B0-4F0B-9471-27AA36CBE8F4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BB0-4F0B-9471-27AA36CBE8F4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(2)'!$C$17:$M$17</c:f>
              <c:numCache>
                <c:formatCode>0.0_);[Red]\(0.0\)</c:formatCode>
                <c:ptCount val="11"/>
                <c:pt idx="0" formatCode="0.00_);[Red]\(0.00\)">
                  <c:v>5.0000000000000001E-3</c:v>
                </c:pt>
                <c:pt idx="1">
                  <c:v>9.65714285714286E-2</c:v>
                </c:pt>
                <c:pt idx="2">
                  <c:v>12.471428571428572</c:v>
                </c:pt>
                <c:pt idx="3">
                  <c:v>0.22428571428571425</c:v>
                </c:pt>
                <c:pt idx="4">
                  <c:v>4.1428571428571432</c:v>
                </c:pt>
                <c:pt idx="5">
                  <c:v>0.13257142857142856</c:v>
                </c:pt>
                <c:pt idx="6" formatCode="0.00_);[Red]\(0.00\)">
                  <c:v>4.2571428571428573E-2</c:v>
                </c:pt>
                <c:pt idx="7">
                  <c:v>6.9999999999999993E-2</c:v>
                </c:pt>
                <c:pt idx="8">
                  <c:v>3.9142857142857146</c:v>
                </c:pt>
                <c:pt idx="9">
                  <c:v>1.6142857142857143</c:v>
                </c:pt>
                <c:pt idx="10">
                  <c:v>3.7861428571428561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B0-4F0B-9471-27AA36CB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相模原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25.8µg/m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3122362869198307"/>
          <c:y val="0.3564812821934923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(2)'!$A$18</c:f>
              <c:strCache>
                <c:ptCount val="1"/>
                <c:pt idx="0">
                  <c:v>相模原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BF9-4227-B92B-92731D75410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F9-4227-B92B-92731D754104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BF9-4227-B92B-92731D754104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F9-4227-B92B-92731D754104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F9-4227-B92B-92731D754104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F9-4227-B92B-92731D754104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F9-4227-B92B-92731D754104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F9-4227-B92B-92731D754104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BF9-4227-B92B-92731D754104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F9-4227-B92B-92731D754104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BF9-4227-B92B-92731D754104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(2)'!$C$18:$M$18</c:f>
              <c:numCache>
                <c:formatCode>0.0_);[Red]\(0.0\)</c:formatCode>
                <c:ptCount val="11"/>
                <c:pt idx="0" formatCode="0.00_);[Red]\(0.00\)">
                  <c:v>1.1428571428571427E-2</c:v>
                </c:pt>
                <c:pt idx="1">
                  <c:v>0.1842857142857143</c:v>
                </c:pt>
                <c:pt idx="2">
                  <c:v>10.271428571428572</c:v>
                </c:pt>
                <c:pt idx="3">
                  <c:v>0.19</c:v>
                </c:pt>
                <c:pt idx="4">
                  <c:v>3.8999999999999995</c:v>
                </c:pt>
                <c:pt idx="5">
                  <c:v>0.18857142857142856</c:v>
                </c:pt>
                <c:pt idx="6" formatCode="0.00_);[Red]\(0.00\)">
                  <c:v>2.5714285714285714E-2</c:v>
                </c:pt>
                <c:pt idx="7">
                  <c:v>3.4285714285714287E-2</c:v>
                </c:pt>
                <c:pt idx="8">
                  <c:v>4.3428571428571425</c:v>
                </c:pt>
                <c:pt idx="9">
                  <c:v>1.2457142857142858</c:v>
                </c:pt>
                <c:pt idx="10">
                  <c:v>5.3914285714285732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F9-4227-B92B-92731D754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甲府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25.2µg/m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70042194092827"/>
          <c:y val="0.3564812821934923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(2)'!$A$19</c:f>
              <c:strCache>
                <c:ptCount val="1"/>
                <c:pt idx="0">
                  <c:v>甲府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327-4950-AD60-3C8216AD4E68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27-4950-AD60-3C8216AD4E68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327-4950-AD60-3C8216AD4E68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27-4950-AD60-3C8216AD4E68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327-4950-AD60-3C8216AD4E68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27-4950-AD60-3C8216AD4E68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327-4950-AD60-3C8216AD4E68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27-4950-AD60-3C8216AD4E68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327-4950-AD60-3C8216AD4E68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27-4950-AD60-3C8216AD4E68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327-4950-AD60-3C8216AD4E68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(2)'!$C$19:$M$19</c:f>
              <c:numCache>
                <c:formatCode>0.0_);[Red]\(0.0\)</c:formatCode>
                <c:ptCount val="11"/>
                <c:pt idx="0" formatCode="0.00_);[Red]\(0.00\)">
                  <c:v>5.9999999999999993E-3</c:v>
                </c:pt>
                <c:pt idx="1">
                  <c:v>4.5642857142857138E-2</c:v>
                </c:pt>
                <c:pt idx="2">
                  <c:v>9.3428571428571434</c:v>
                </c:pt>
                <c:pt idx="3">
                  <c:v>7.8714285714285723E-2</c:v>
                </c:pt>
                <c:pt idx="4">
                  <c:v>3.4014285714285717</c:v>
                </c:pt>
                <c:pt idx="5">
                  <c:v>0.14714285714285716</c:v>
                </c:pt>
                <c:pt idx="6" formatCode="0.00_);[Red]\(0.00\)">
                  <c:v>8.7428571428571425E-2</c:v>
                </c:pt>
                <c:pt idx="7">
                  <c:v>4.0142857142857147E-2</c:v>
                </c:pt>
                <c:pt idx="8">
                  <c:v>4.5142857142857142</c:v>
                </c:pt>
                <c:pt idx="9">
                  <c:v>1.4957142857142856</c:v>
                </c:pt>
                <c:pt idx="10">
                  <c:v>6.0120714285714278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27-4950-AD60-3C8216AD4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吉田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26.7µg/m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434599156118148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(2)'!$A$20</c:f>
              <c:strCache>
                <c:ptCount val="1"/>
                <c:pt idx="0">
                  <c:v>吉田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023-4A8C-9C67-9294880CA34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23-4A8C-9C67-9294880CA34A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023-4A8C-9C67-9294880CA34A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23-4A8C-9C67-9294880CA34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023-4A8C-9C67-9294880CA34A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23-4A8C-9C67-9294880CA34A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023-4A8C-9C67-9294880CA34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23-4A8C-9C67-9294880CA34A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023-4A8C-9C67-9294880CA34A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23-4A8C-9C67-9294880CA34A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023-4A8C-9C67-9294880CA34A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(2)'!$C$20:$M$20</c:f>
              <c:numCache>
                <c:formatCode>0.0_);[Red]\(0.0\)</c:formatCode>
                <c:ptCount val="11"/>
                <c:pt idx="0" formatCode="0.00_);[Red]\(0.00\)">
                  <c:v>5.9999999999999993E-3</c:v>
                </c:pt>
                <c:pt idx="1">
                  <c:v>6.2857142857142861E-2</c:v>
                </c:pt>
                <c:pt idx="2">
                  <c:v>10.971428571428572</c:v>
                </c:pt>
                <c:pt idx="3">
                  <c:v>5.3000000000000012E-2</c:v>
                </c:pt>
                <c:pt idx="4">
                  <c:v>3.8428571428571425</c:v>
                </c:pt>
                <c:pt idx="5">
                  <c:v>0.17142857142857143</c:v>
                </c:pt>
                <c:pt idx="6" formatCode="0.00_);[Red]\(0.00\)">
                  <c:v>8.7714285714285717E-2</c:v>
                </c:pt>
                <c:pt idx="7">
                  <c:v>2.7857142857142858E-2</c:v>
                </c:pt>
                <c:pt idx="8">
                  <c:v>4.1714285714285717</c:v>
                </c:pt>
                <c:pt idx="9">
                  <c:v>1.7</c:v>
                </c:pt>
                <c:pt idx="10">
                  <c:v>5.5625714285714274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23-4A8C-9C67-9294880CA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真岡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23.5µg/m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434599156118148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(2)'!$A$3</c:f>
              <c:strCache>
                <c:ptCount val="1"/>
                <c:pt idx="0">
                  <c:v>真岡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02E-4FDA-9BD3-A19292B979AF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2E-4FDA-9BD3-A19292B979AF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02E-4FDA-9BD3-A19292B979AF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2E-4FDA-9BD3-A19292B979A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02E-4FDA-9BD3-A19292B979AF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2E-4FDA-9BD3-A19292B979AF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02E-4FDA-9BD3-A19292B979AF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2E-4FDA-9BD3-A19292B979AF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02E-4FDA-9BD3-A19292B979AF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2E-4FDA-9BD3-A19292B979AF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02E-4FDA-9BD3-A19292B979AF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(2)'!$C$3:$M$3</c:f>
              <c:numCache>
                <c:formatCode>0.0_);[Red]\(0.0\)</c:formatCode>
                <c:ptCount val="11"/>
                <c:pt idx="0" formatCode="0.00_);[Red]\(0.00\)">
                  <c:v>1.0999999999999998E-2</c:v>
                </c:pt>
                <c:pt idx="1">
                  <c:v>0.15714285714285717</c:v>
                </c:pt>
                <c:pt idx="2">
                  <c:v>8.7571428571428562</c:v>
                </c:pt>
                <c:pt idx="3">
                  <c:v>0.113</c:v>
                </c:pt>
                <c:pt idx="4">
                  <c:v>3.1</c:v>
                </c:pt>
                <c:pt idx="5">
                  <c:v>0.22185714285714284</c:v>
                </c:pt>
                <c:pt idx="6" formatCode="0.00_);[Red]\(0.00\)">
                  <c:v>2.1914285714285713E-2</c:v>
                </c:pt>
                <c:pt idx="7">
                  <c:v>2.7E-2</c:v>
                </c:pt>
                <c:pt idx="8">
                  <c:v>4.2857142857142856</c:v>
                </c:pt>
                <c:pt idx="9">
                  <c:v>1.3942857142857144</c:v>
                </c:pt>
                <c:pt idx="10">
                  <c:v>5.4395142857142922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2E-4FDA-9BD3-A19292B97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長野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19.2µg/m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434599156118148"/>
          <c:y val="0.347445368692399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(2)'!$A$21</c:f>
              <c:strCache>
                <c:ptCount val="1"/>
                <c:pt idx="0">
                  <c:v>長野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704-40DE-9A00-72A93FC135D6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04-40DE-9A00-72A93FC135D6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04-40DE-9A00-72A93FC135D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04-40DE-9A00-72A93FC135D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704-40DE-9A00-72A93FC135D6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04-40DE-9A00-72A93FC135D6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704-40DE-9A00-72A93FC135D6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04-40DE-9A00-72A93FC135D6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704-40DE-9A00-72A93FC135D6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04-40DE-9A00-72A93FC135D6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704-40DE-9A00-72A93FC135D6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(2)'!$C$21:$M$21</c:f>
              <c:numCache>
                <c:formatCode>0.0_);[Red]\(0.0\)</c:formatCode>
                <c:ptCount val="11"/>
                <c:pt idx="0" formatCode="0.00_);[Red]\(0.00\)">
                  <c:v>1.5857142857142858E-2</c:v>
                </c:pt>
                <c:pt idx="1">
                  <c:v>0.11028571428571428</c:v>
                </c:pt>
                <c:pt idx="2">
                  <c:v>6.8428571428571425</c:v>
                </c:pt>
                <c:pt idx="3">
                  <c:v>5.3285714285714283E-2</c:v>
                </c:pt>
                <c:pt idx="4">
                  <c:v>2.3514285714285714</c:v>
                </c:pt>
                <c:pt idx="5">
                  <c:v>7.2714285714285731E-2</c:v>
                </c:pt>
                <c:pt idx="6" formatCode="0.00_);[Red]\(0.00\)">
                  <c:v>1.0528571428571427E-2</c:v>
                </c:pt>
                <c:pt idx="7">
                  <c:v>3.0857142857142857E-2</c:v>
                </c:pt>
                <c:pt idx="8">
                  <c:v>2.6285714285714286</c:v>
                </c:pt>
                <c:pt idx="9">
                  <c:v>0.93285714285714272</c:v>
                </c:pt>
                <c:pt idx="10">
                  <c:v>6.1650428571428595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04-40DE-9A00-72A93FC13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富士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28.2µg/m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70042194092827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(2)'!$A$22</c:f>
              <c:strCache>
                <c:ptCount val="1"/>
                <c:pt idx="0">
                  <c:v>富士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706-4C99-97BE-A3524C2FBB7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06-4C99-97BE-A3524C2FBB70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706-4C99-97BE-A3524C2FBB70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06-4C99-97BE-A3524C2FBB70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706-4C99-97BE-A3524C2FBB70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06-4C99-97BE-A3524C2FBB70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706-4C99-97BE-A3524C2FBB70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06-4C99-97BE-A3524C2FBB70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706-4C99-97BE-A3524C2FBB70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06-4C99-97BE-A3524C2FBB70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706-4C99-97BE-A3524C2FBB70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(2)'!$C$22:$M$22</c:f>
              <c:numCache>
                <c:formatCode>0.0_);[Red]\(0.0\)</c:formatCode>
                <c:ptCount val="11"/>
                <c:pt idx="0" formatCode="0.00_);[Red]\(0.00\)">
                  <c:v>3.3514285714285712E-2</c:v>
                </c:pt>
                <c:pt idx="1">
                  <c:v>3.2857142857142856E-2</c:v>
                </c:pt>
                <c:pt idx="2">
                  <c:v>12.257142857142856</c:v>
                </c:pt>
                <c:pt idx="3">
                  <c:v>0.21200000000000002</c:v>
                </c:pt>
                <c:pt idx="4">
                  <c:v>5.0142857142857142</c:v>
                </c:pt>
                <c:pt idx="5">
                  <c:v>7.6999999999999999E-2</c:v>
                </c:pt>
                <c:pt idx="6" formatCode="0.00_);[Red]\(0.00\)">
                  <c:v>3.1428571428571424E-2</c:v>
                </c:pt>
                <c:pt idx="7">
                  <c:v>9.4714285714285709E-2</c:v>
                </c:pt>
                <c:pt idx="8">
                  <c:v>2.4171428571428568</c:v>
                </c:pt>
                <c:pt idx="9">
                  <c:v>1.4514285714285715</c:v>
                </c:pt>
                <c:pt idx="10">
                  <c:v>6.5499142857142907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06-4C99-97BE-A3524C2FB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湖西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27.8µg/m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70042194092827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(2)'!$A$23</c:f>
              <c:strCache>
                <c:ptCount val="1"/>
                <c:pt idx="0">
                  <c:v>湖西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7-4EB8-9942-EB42121B87CB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C7-4EB8-9942-EB42121B87CB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9C7-4EB8-9942-EB42121B87CB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C7-4EB8-9942-EB42121B87C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9C7-4EB8-9942-EB42121B87CB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C7-4EB8-9942-EB42121B87CB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9C7-4EB8-9942-EB42121B87CB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C7-4EB8-9942-EB42121B87CB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9C7-4EB8-9942-EB42121B87CB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C7-4EB8-9942-EB42121B87CB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9C7-4EB8-9942-EB42121B87CB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(2)'!$C$23:$M$23</c:f>
              <c:numCache>
                <c:formatCode>0.0_);[Red]\(0.0\)</c:formatCode>
                <c:ptCount val="11"/>
                <c:pt idx="0" formatCode="0.00_);[Red]\(0.00\)">
                  <c:v>4.8142857142857145E-3</c:v>
                </c:pt>
                <c:pt idx="1">
                  <c:v>4.7571428571428584E-2</c:v>
                </c:pt>
                <c:pt idx="2">
                  <c:v>12.642857142857142</c:v>
                </c:pt>
                <c:pt idx="3">
                  <c:v>6.9142857142857145E-2</c:v>
                </c:pt>
                <c:pt idx="4">
                  <c:v>5.6571428571428566</c:v>
                </c:pt>
                <c:pt idx="5">
                  <c:v>0.10571428571428569</c:v>
                </c:pt>
                <c:pt idx="6" formatCode="0.00_);[Red]\(0.00\)">
                  <c:v>1.9E-2</c:v>
                </c:pt>
                <c:pt idx="7">
                  <c:v>7.1999999999999995E-2</c:v>
                </c:pt>
                <c:pt idx="8">
                  <c:v>2.16</c:v>
                </c:pt>
                <c:pt idx="9">
                  <c:v>1.1485714285714288</c:v>
                </c:pt>
                <c:pt idx="10">
                  <c:v>5.8731857142857216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C7-4EB8-9942-EB42121B8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静岡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26.9µg/m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278481012658228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(2)'!$A$24</c:f>
              <c:strCache>
                <c:ptCount val="1"/>
                <c:pt idx="0">
                  <c:v>静岡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268-4031-8A55-07E0CAC96B3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68-4031-8A55-07E0CAC96B31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68-4031-8A55-07E0CAC96B31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68-4031-8A55-07E0CAC96B3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68-4031-8A55-07E0CAC96B31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68-4031-8A55-07E0CAC96B31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268-4031-8A55-07E0CAC96B3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68-4031-8A55-07E0CAC96B31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268-4031-8A55-07E0CAC96B31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268-4031-8A55-07E0CAC96B31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268-4031-8A55-07E0CAC96B31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(2)'!$C$24:$M$24</c:f>
              <c:numCache>
                <c:formatCode>0.0_);[Red]\(0.0\)</c:formatCode>
                <c:ptCount val="11"/>
                <c:pt idx="0" formatCode="0.00_);[Red]\(0.00\)">
                  <c:v>5.5E-2</c:v>
                </c:pt>
                <c:pt idx="1">
                  <c:v>8.4142857142857158E-2</c:v>
                </c:pt>
                <c:pt idx="2">
                  <c:v>10.1</c:v>
                </c:pt>
                <c:pt idx="3">
                  <c:v>0.14071428571428574</c:v>
                </c:pt>
                <c:pt idx="4">
                  <c:v>4.2857142857142856</c:v>
                </c:pt>
                <c:pt idx="5">
                  <c:v>0.13914285714285715</c:v>
                </c:pt>
                <c:pt idx="6" formatCode="0.00_);[Red]\(0.00\)">
                  <c:v>1.3399999999999999E-2</c:v>
                </c:pt>
                <c:pt idx="7">
                  <c:v>3.4000000000000002E-2</c:v>
                </c:pt>
                <c:pt idx="8">
                  <c:v>3.7428571428571429</c:v>
                </c:pt>
                <c:pt idx="9">
                  <c:v>1.4657142857142857</c:v>
                </c:pt>
                <c:pt idx="10">
                  <c:v>6.8821714285714286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268-4031-8A55-07E0CAC96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浜松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27.5µg/m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278481012658228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(2)'!$A$25</c:f>
              <c:strCache>
                <c:ptCount val="1"/>
                <c:pt idx="0">
                  <c:v>浜松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F1B-4A70-843A-B07D4D61B0BE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1B-4A70-843A-B07D4D61B0BE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F1B-4A70-843A-B07D4D61B0B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1B-4A70-843A-B07D4D61B0B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F1B-4A70-843A-B07D4D61B0BE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1B-4A70-843A-B07D4D61B0BE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F1B-4A70-843A-B07D4D61B0BE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1B-4A70-843A-B07D4D61B0BE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F1B-4A70-843A-B07D4D61B0BE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1B-4A70-843A-B07D4D61B0BE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F1B-4A70-843A-B07D4D61B0BE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(2)'!$C$25:$M$25</c:f>
              <c:numCache>
                <c:formatCode>0.0_);[Red]\(0.0\)</c:formatCode>
                <c:ptCount val="11"/>
                <c:pt idx="0" formatCode="0.00_);[Red]\(0.00\)">
                  <c:v>1.67E-2</c:v>
                </c:pt>
                <c:pt idx="1">
                  <c:v>0.17842857142857141</c:v>
                </c:pt>
                <c:pt idx="2">
                  <c:v>9.4857142857142858</c:v>
                </c:pt>
                <c:pt idx="3">
                  <c:v>0.13599999999999998</c:v>
                </c:pt>
                <c:pt idx="4">
                  <c:v>3.7142857142857144</c:v>
                </c:pt>
                <c:pt idx="5">
                  <c:v>0.11085714285714286</c:v>
                </c:pt>
                <c:pt idx="6" formatCode="0.00_);[Red]\(0.00\)">
                  <c:v>1.2457142857142856E-2</c:v>
                </c:pt>
                <c:pt idx="7">
                  <c:v>5.9142857142857143E-2</c:v>
                </c:pt>
                <c:pt idx="8">
                  <c:v>3.5142857142857147</c:v>
                </c:pt>
                <c:pt idx="9">
                  <c:v>1.3114285714285714</c:v>
                </c:pt>
                <c:pt idx="10">
                  <c:v>8.9892714285714277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1B-4A70-843A-B07D4D61B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凡例用</a:t>
            </a:r>
          </a:p>
        </c:rich>
      </c:tx>
      <c:layout>
        <c:manualLayout>
          <c:xMode val="edge"/>
          <c:yMode val="edge"/>
          <c:x val="3.4609455463636647E-2"/>
          <c:y val="3.6144582599442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89720588723879E-2"/>
          <c:y val="0.14977731593033347"/>
          <c:w val="0.31972690122595437"/>
          <c:h val="0.3508114610673666"/>
        </c:manualLayout>
      </c:layout>
      <c:doughnutChart>
        <c:varyColors val="1"/>
        <c:ser>
          <c:idx val="0"/>
          <c:order val="0"/>
          <c:tx>
            <c:strRef>
              <c:f>'コア期間 (2)'!$A$2</c:f>
              <c:strCache>
                <c:ptCount val="1"/>
                <c:pt idx="0">
                  <c:v>土浦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3D2-4D96-8C1D-E002EB0259CE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D2-4D96-8C1D-E002EB0259CE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3D2-4D96-8C1D-E002EB0259C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D2-4D96-8C1D-E002EB0259C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3D2-4D96-8C1D-E002EB0259CE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D2-4D96-8C1D-E002EB0259CE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3D2-4D96-8C1D-E002EB0259CE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D2-4D96-8C1D-E002EB0259CE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3D2-4D96-8C1D-E002EB0259CE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D2-4D96-8C1D-E002EB0259CE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3D2-4D96-8C1D-E002EB0259CE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(2)'!$C$2:$M$2</c:f>
              <c:numCache>
                <c:formatCode>0.0_);[Red]\(0.0\)</c:formatCode>
                <c:ptCount val="11"/>
                <c:pt idx="0" formatCode="0.00_);[Red]\(0.00\)">
                  <c:v>4.9928571428571435E-3</c:v>
                </c:pt>
                <c:pt idx="1">
                  <c:v>0.23485714285714285</c:v>
                </c:pt>
                <c:pt idx="2">
                  <c:v>9.9857142857142858</c:v>
                </c:pt>
                <c:pt idx="3">
                  <c:v>0.15057142857142858</c:v>
                </c:pt>
                <c:pt idx="4">
                  <c:v>3.7857142857142856</c:v>
                </c:pt>
                <c:pt idx="5">
                  <c:v>9.6000000000000002E-2</c:v>
                </c:pt>
                <c:pt idx="6" formatCode="0.00_);[Red]\(0.00\)">
                  <c:v>2.471428571428572E-2</c:v>
                </c:pt>
                <c:pt idx="7">
                  <c:v>4.9714285714285725E-2</c:v>
                </c:pt>
                <c:pt idx="8">
                  <c:v>4.4571428571428573</c:v>
                </c:pt>
                <c:pt idx="9">
                  <c:v>0.87285714285714289</c:v>
                </c:pt>
                <c:pt idx="10">
                  <c:v>7.3377214285714274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D2-4D96-8C1D-E002EB02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46835443037975"/>
          <c:y val="2.6064947299194823E-2"/>
          <c:w val="0.30767932489451477"/>
          <c:h val="0.9663887950800731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コア期間!$BM$27:$BM$194</c:f>
              <c:numCache>
                <c:formatCode>0_);[Red]\(0\)</c:formatCode>
                <c:ptCount val="168"/>
                <c:pt idx="0">
                  <c:v>207.53095847612758</c:v>
                </c:pt>
                <c:pt idx="1">
                  <c:v>223.89789765611025</c:v>
                </c:pt>
                <c:pt idx="2">
                  <c:v>150.07689210950082</c:v>
                </c:pt>
                <c:pt idx="3">
                  <c:v>152.1057640695322</c:v>
                </c:pt>
                <c:pt idx="4">
                  <c:v>252.3431912960898</c:v>
                </c:pt>
                <c:pt idx="5">
                  <c:v>343.69834083433113</c:v>
                </c:pt>
                <c:pt idx="6">
                  <c:v>237.26471709539337</c:v>
                </c:pt>
                <c:pt idx="7">
                  <c:v>132.56999256781862</c:v>
                </c:pt>
                <c:pt idx="8">
                  <c:v>187.58700400511992</c:v>
                </c:pt>
                <c:pt idx="9">
                  <c:v>112.2158353634199</c:v>
                </c:pt>
                <c:pt idx="10">
                  <c:v>128.04159200077075</c:v>
                </c:pt>
                <c:pt idx="11">
                  <c:v>182.46654761413211</c:v>
                </c:pt>
                <c:pt idx="12">
                  <c:v>359.83851452716186</c:v>
                </c:pt>
                <c:pt idx="13">
                  <c:v>199.12340104876336</c:v>
                </c:pt>
                <c:pt idx="14">
                  <c:v>88.644708699781162</c:v>
                </c:pt>
                <c:pt idx="15">
                  <c:v>46.65503943185103</c:v>
                </c:pt>
                <c:pt idx="16">
                  <c:v>100.7123972913828</c:v>
                </c:pt>
                <c:pt idx="17">
                  <c:v>86.8466039060242</c:v>
                </c:pt>
                <c:pt idx="18">
                  <c:v>151.3149613939469</c:v>
                </c:pt>
                <c:pt idx="19">
                  <c:v>110.13025310706472</c:v>
                </c:pt>
                <c:pt idx="20">
                  <c:v>76.531758123787128</c:v>
                </c:pt>
                <c:pt idx="21">
                  <c:v>117.55442490056018</c:v>
                </c:pt>
                <c:pt idx="22">
                  <c:v>128.57913827986292</c:v>
                </c:pt>
                <c:pt idx="23">
                  <c:v>105.76354652683153</c:v>
                </c:pt>
                <c:pt idx="24">
                  <c:v>146.09285065444485</c:v>
                </c:pt>
                <c:pt idx="25">
                  <c:v>216.69481054819221</c:v>
                </c:pt>
                <c:pt idx="26">
                  <c:v>212.01983635437742</c:v>
                </c:pt>
                <c:pt idx="27">
                  <c:v>88.192311821297324</c:v>
                </c:pt>
                <c:pt idx="28">
                  <c:v>175.78781948057309</c:v>
                </c:pt>
                <c:pt idx="29">
                  <c:v>190.42374306673824</c:v>
                </c:pt>
                <c:pt idx="30">
                  <c:v>158.99364961393948</c:v>
                </c:pt>
                <c:pt idx="31">
                  <c:v>175.26321758399055</c:v>
                </c:pt>
                <c:pt idx="32">
                  <c:v>302.90333278280139</c:v>
                </c:pt>
                <c:pt idx="33">
                  <c:v>260.75175963775001</c:v>
                </c:pt>
                <c:pt idx="34">
                  <c:v>145.74758818833698</c:v>
                </c:pt>
                <c:pt idx="35">
                  <c:v>158.99465020576133</c:v>
                </c:pt>
                <c:pt idx="36">
                  <c:v>193.87789614214734</c:v>
                </c:pt>
                <c:pt idx="37">
                  <c:v>129.93889921136301</c:v>
                </c:pt>
                <c:pt idx="38">
                  <c:v>151.50430722435556</c:v>
                </c:pt>
                <c:pt idx="39">
                  <c:v>302.85095723743069</c:v>
                </c:pt>
                <c:pt idx="40">
                  <c:v>290.50652105096555</c:v>
                </c:pt>
                <c:pt idx="41">
                  <c:v>179.00801643337874</c:v>
                </c:pt>
                <c:pt idx="42">
                  <c:v>149.60919113093027</c:v>
                </c:pt>
                <c:pt idx="43">
                  <c:v>191.63364851287557</c:v>
                </c:pt>
                <c:pt idx="44">
                  <c:v>129.5063930522868</c:v>
                </c:pt>
                <c:pt idx="45">
                  <c:v>171.9883700125246</c:v>
                </c:pt>
                <c:pt idx="46">
                  <c:v>277.09632244656399</c:v>
                </c:pt>
                <c:pt idx="47">
                  <c:v>238.64101050139701</c:v>
                </c:pt>
                <c:pt idx="48">
                  <c:v>155.91607828564349</c:v>
                </c:pt>
                <c:pt idx="49">
                  <c:v>91.38740520527962</c:v>
                </c:pt>
                <c:pt idx="50">
                  <c:v>198.81473842850653</c:v>
                </c:pt>
                <c:pt idx="51">
                  <c:v>140.59348445435398</c:v>
                </c:pt>
                <c:pt idx="52">
                  <c:v>193.61488225497888</c:v>
                </c:pt>
                <c:pt idx="53">
                  <c:v>316.57255322955814</c:v>
                </c:pt>
                <c:pt idx="54">
                  <c:v>358.65445105082784</c:v>
                </c:pt>
                <c:pt idx="55">
                  <c:v>313.10573998375929</c:v>
                </c:pt>
                <c:pt idx="56">
                  <c:v>78.613894050125936</c:v>
                </c:pt>
                <c:pt idx="57">
                  <c:v>102.7488569580357</c:v>
                </c:pt>
                <c:pt idx="58">
                  <c:v>120.83067976932712</c:v>
                </c:pt>
                <c:pt idx="59">
                  <c:v>127.56599777034558</c:v>
                </c:pt>
                <c:pt idx="60">
                  <c:v>266.85466919911369</c:v>
                </c:pt>
                <c:pt idx="61">
                  <c:v>267.75767923255847</c:v>
                </c:pt>
                <c:pt idx="62">
                  <c:v>239.5317409196636</c:v>
                </c:pt>
                <c:pt idx="63">
                  <c:v>92.648336705341535</c:v>
                </c:pt>
                <c:pt idx="64">
                  <c:v>179.18062265163712</c:v>
                </c:pt>
                <c:pt idx="65">
                  <c:v>174.53742929105246</c:v>
                </c:pt>
                <c:pt idx="66">
                  <c:v>210.14436324098159</c:v>
                </c:pt>
                <c:pt idx="67">
                  <c:v>310.84000853324522</c:v>
                </c:pt>
                <c:pt idx="68">
                  <c:v>338.33473718980974</c:v>
                </c:pt>
                <c:pt idx="69">
                  <c:v>280.76710433956811</c:v>
                </c:pt>
                <c:pt idx="70">
                  <c:v>113.02565410077486</c:v>
                </c:pt>
                <c:pt idx="71">
                  <c:v>207.66919842547861</c:v>
                </c:pt>
                <c:pt idx="72">
                  <c:v>153.73979451394908</c:v>
                </c:pt>
                <c:pt idx="73">
                  <c:v>230.03441719311283</c:v>
                </c:pt>
                <c:pt idx="74">
                  <c:v>278.88768322391513</c:v>
                </c:pt>
                <c:pt idx="75">
                  <c:v>408.10675020989027</c:v>
                </c:pt>
                <c:pt idx="76">
                  <c:v>325.8172082524739</c:v>
                </c:pt>
                <c:pt idx="77">
                  <c:v>114.0865298594767</c:v>
                </c:pt>
                <c:pt idx="78">
                  <c:v>133.65390120704132</c:v>
                </c:pt>
                <c:pt idx="79">
                  <c:v>63.452158773414816</c:v>
                </c:pt>
                <c:pt idx="80">
                  <c:v>83.257841639484141</c:v>
                </c:pt>
                <c:pt idx="81">
                  <c:v>261.92187263443304</c:v>
                </c:pt>
                <c:pt idx="82">
                  <c:v>174.13165971620077</c:v>
                </c:pt>
                <c:pt idx="83">
                  <c:v>129.49156309784328</c:v>
                </c:pt>
                <c:pt idx="84">
                  <c:v>142.7192699946323</c:v>
                </c:pt>
                <c:pt idx="85">
                  <c:v>134.42431561996779</c:v>
                </c:pt>
                <c:pt idx="86">
                  <c:v>225.56841047662306</c:v>
                </c:pt>
                <c:pt idx="87">
                  <c:v>205.98091718623121</c:v>
                </c:pt>
                <c:pt idx="88">
                  <c:v>305.87725890141354</c:v>
                </c:pt>
                <c:pt idx="89">
                  <c:v>212.11636869124789</c:v>
                </c:pt>
                <c:pt idx="90">
                  <c:v>213.09943983373938</c:v>
                </c:pt>
                <c:pt idx="91">
                  <c:v>104.55027939496537</c:v>
                </c:pt>
                <c:pt idx="92">
                  <c:v>199.59401709401709</c:v>
                </c:pt>
                <c:pt idx="93">
                  <c:v>182.91203462845976</c:v>
                </c:pt>
                <c:pt idx="94">
                  <c:v>204.43486518848837</c:v>
                </c:pt>
                <c:pt idx="95">
                  <c:v>307.61120263704811</c:v>
                </c:pt>
                <c:pt idx="96">
                  <c:v>252.06779044001266</c:v>
                </c:pt>
                <c:pt idx="97">
                  <c:v>292.47742612549382</c:v>
                </c:pt>
                <c:pt idx="98">
                  <c:v>96.366853847530194</c:v>
                </c:pt>
                <c:pt idx="99">
                  <c:v>254.83131701006096</c:v>
                </c:pt>
                <c:pt idx="100">
                  <c:v>216.55267902610899</c:v>
                </c:pt>
                <c:pt idx="101">
                  <c:v>291.97675378834805</c:v>
                </c:pt>
                <c:pt idx="102">
                  <c:v>357.45241339444237</c:v>
                </c:pt>
                <c:pt idx="103">
                  <c:v>398.68411164787983</c:v>
                </c:pt>
                <c:pt idx="104">
                  <c:v>392.24791141940904</c:v>
                </c:pt>
                <c:pt idx="105">
                  <c:v>114.34380926820538</c:v>
                </c:pt>
                <c:pt idx="106">
                  <c:v>207.48604814401915</c:v>
                </c:pt>
                <c:pt idx="107">
                  <c:v>189.45186767964549</c:v>
                </c:pt>
                <c:pt idx="108">
                  <c:v>259.94744553174502</c:v>
                </c:pt>
                <c:pt idx="109">
                  <c:v>351.4709931596405</c:v>
                </c:pt>
                <c:pt idx="110">
                  <c:v>299.3303700951044</c:v>
                </c:pt>
                <c:pt idx="111">
                  <c:v>330.16306756403378</c:v>
                </c:pt>
                <c:pt idx="112">
                  <c:v>129.05669790935491</c:v>
                </c:pt>
                <c:pt idx="113">
                  <c:v>229.79596597712538</c:v>
                </c:pt>
                <c:pt idx="114">
                  <c:v>260.24549596047183</c:v>
                </c:pt>
                <c:pt idx="115">
                  <c:v>223.8558638534484</c:v>
                </c:pt>
                <c:pt idx="116">
                  <c:v>322.81932917681712</c:v>
                </c:pt>
                <c:pt idx="117">
                  <c:v>226.91971179652339</c:v>
                </c:pt>
                <c:pt idx="118">
                  <c:v>242.46065761041601</c:v>
                </c:pt>
                <c:pt idx="119">
                  <c:v>71.964433915520871</c:v>
                </c:pt>
                <c:pt idx="120">
                  <c:v>137.79434053153861</c:v>
                </c:pt>
                <c:pt idx="121">
                  <c:v>212.752576489533</c:v>
                </c:pt>
                <c:pt idx="122">
                  <c:v>152.38030471943517</c:v>
                </c:pt>
                <c:pt idx="123">
                  <c:v>348.70867019007119</c:v>
                </c:pt>
                <c:pt idx="124">
                  <c:v>228.03891022200202</c:v>
                </c:pt>
                <c:pt idx="125">
                  <c:v>285.92569022943428</c:v>
                </c:pt>
                <c:pt idx="126">
                  <c:v>89.924919484702087</c:v>
                </c:pt>
                <c:pt idx="127">
                  <c:v>198.49889962426192</c:v>
                </c:pt>
                <c:pt idx="128">
                  <c:v>236.82704866702451</c:v>
                </c:pt>
                <c:pt idx="129">
                  <c:v>219.17420826623726</c:v>
                </c:pt>
                <c:pt idx="130">
                  <c:v>272.33374451188467</c:v>
                </c:pt>
                <c:pt idx="131">
                  <c:v>280.10435161099412</c:v>
                </c:pt>
                <c:pt idx="132">
                  <c:v>304.76591725504778</c:v>
                </c:pt>
                <c:pt idx="133">
                  <c:v>42.289962426194307</c:v>
                </c:pt>
                <c:pt idx="134">
                  <c:v>82.506092324208268</c:v>
                </c:pt>
                <c:pt idx="135">
                  <c:v>143.92038275733933</c:v>
                </c:pt>
                <c:pt idx="136">
                  <c:v>196.85703373384533</c:v>
                </c:pt>
                <c:pt idx="137">
                  <c:v>208.0292373756142</c:v>
                </c:pt>
                <c:pt idx="138">
                  <c:v>164.91206009056251</c:v>
                </c:pt>
                <c:pt idx="139">
                  <c:v>122.06419271370963</c:v>
                </c:pt>
                <c:pt idx="140">
                  <c:v>100.18477228622156</c:v>
                </c:pt>
                <c:pt idx="141">
                  <c:v>165.78996517885412</c:v>
                </c:pt>
                <c:pt idx="142">
                  <c:v>293.76299737120996</c:v>
                </c:pt>
                <c:pt idx="143">
                  <c:v>263.48607154162704</c:v>
                </c:pt>
                <c:pt idx="144">
                  <c:v>324.38448428919435</c:v>
                </c:pt>
                <c:pt idx="145">
                  <c:v>429.31606727500451</c:v>
                </c:pt>
                <c:pt idx="146">
                  <c:v>502.67488989360965</c:v>
                </c:pt>
                <c:pt idx="147">
                  <c:v>107.43872544971579</c:v>
                </c:pt>
                <c:pt idx="148">
                  <c:v>176.74196085717824</c:v>
                </c:pt>
                <c:pt idx="149">
                  <c:v>256.35391772299988</c:v>
                </c:pt>
                <c:pt idx="150">
                  <c:v>375.22283434493573</c:v>
                </c:pt>
                <c:pt idx="151">
                  <c:v>565.73242770827312</c:v>
                </c:pt>
                <c:pt idx="152">
                  <c:v>516.63127021484513</c:v>
                </c:pt>
                <c:pt idx="153">
                  <c:v>278.04320299489387</c:v>
                </c:pt>
                <c:pt idx="154">
                  <c:v>79.049216180134053</c:v>
                </c:pt>
                <c:pt idx="155">
                  <c:v>149.08968027856918</c:v>
                </c:pt>
                <c:pt idx="156">
                  <c:v>216.53212904468944</c:v>
                </c:pt>
                <c:pt idx="157">
                  <c:v>206.27676479898705</c:v>
                </c:pt>
                <c:pt idx="158">
                  <c:v>381.98450114923543</c:v>
                </c:pt>
                <c:pt idx="159">
                  <c:v>283.83295346628677</c:v>
                </c:pt>
                <c:pt idx="160">
                  <c:v>437.32203228869895</c:v>
                </c:pt>
                <c:pt idx="161">
                  <c:v>82.819063545150513</c:v>
                </c:pt>
                <c:pt idx="162">
                  <c:v>81.476723509090661</c:v>
                </c:pt>
                <c:pt idx="163">
                  <c:v>186.98958118281791</c:v>
                </c:pt>
                <c:pt idx="164">
                  <c:v>235.41884539686473</c:v>
                </c:pt>
                <c:pt idx="165">
                  <c:v>316.01473911667142</c:v>
                </c:pt>
                <c:pt idx="166">
                  <c:v>308.6817615646118</c:v>
                </c:pt>
                <c:pt idx="167">
                  <c:v>322.20942510700962</c:v>
                </c:pt>
              </c:numCache>
            </c:numRef>
          </c:xVal>
          <c:yVal>
            <c:numRef>
              <c:f>コア期間!$BL$27:$BL$194</c:f>
              <c:numCache>
                <c:formatCode>0_);[Red]\(0\)</c:formatCode>
                <c:ptCount val="168"/>
                <c:pt idx="0">
                  <c:v>173.97478418900499</c:v>
                </c:pt>
                <c:pt idx="1">
                  <c:v>201.12766166893837</c:v>
                </c:pt>
                <c:pt idx="2">
                  <c:v>134.08885355141604</c:v>
                </c:pt>
                <c:pt idx="3">
                  <c:v>155.66347114947752</c:v>
                </c:pt>
                <c:pt idx="4">
                  <c:v>232.44881114644858</c:v>
                </c:pt>
                <c:pt idx="5">
                  <c:v>356.67616235044682</c:v>
                </c:pt>
                <c:pt idx="6">
                  <c:v>229.77089201877934</c:v>
                </c:pt>
                <c:pt idx="7">
                  <c:v>128.06523549901561</c:v>
                </c:pt>
                <c:pt idx="8">
                  <c:v>185.75340754202634</c:v>
                </c:pt>
                <c:pt idx="9">
                  <c:v>106.73459033772528</c:v>
                </c:pt>
                <c:pt idx="10">
                  <c:v>130.412009692564</c:v>
                </c:pt>
                <c:pt idx="11">
                  <c:v>180.92813872482205</c:v>
                </c:pt>
                <c:pt idx="12">
                  <c:v>357.05717098288659</c:v>
                </c:pt>
                <c:pt idx="13">
                  <c:v>208.04373012267152</c:v>
                </c:pt>
                <c:pt idx="14">
                  <c:v>82.617825230955617</c:v>
                </c:pt>
                <c:pt idx="15">
                  <c:v>47.832878994396488</c:v>
                </c:pt>
                <c:pt idx="16">
                  <c:v>99.496857489020144</c:v>
                </c:pt>
                <c:pt idx="17">
                  <c:v>86.819438134181411</c:v>
                </c:pt>
                <c:pt idx="18">
                  <c:v>150.58825533848253</c:v>
                </c:pt>
                <c:pt idx="19">
                  <c:v>124.12320157504165</c:v>
                </c:pt>
                <c:pt idx="20">
                  <c:v>77.719975768590032</c:v>
                </c:pt>
                <c:pt idx="21">
                  <c:v>116.91890049977283</c:v>
                </c:pt>
                <c:pt idx="22">
                  <c:v>132.29524458579434</c:v>
                </c:pt>
                <c:pt idx="23">
                  <c:v>108.96997576859003</c:v>
                </c:pt>
                <c:pt idx="24">
                  <c:v>149.2387929728911</c:v>
                </c:pt>
                <c:pt idx="25">
                  <c:v>231.97266394063303</c:v>
                </c:pt>
                <c:pt idx="26">
                  <c:v>210.07481447826746</c:v>
                </c:pt>
                <c:pt idx="27">
                  <c:v>92.303309101923375</c:v>
                </c:pt>
                <c:pt idx="28">
                  <c:v>172.52960775405117</c:v>
                </c:pt>
                <c:pt idx="29">
                  <c:v>197.13982280781465</c:v>
                </c:pt>
                <c:pt idx="30">
                  <c:v>154.50541420566407</c:v>
                </c:pt>
                <c:pt idx="31">
                  <c:v>167.97315614114797</c:v>
                </c:pt>
                <c:pt idx="32">
                  <c:v>295.54036044222323</c:v>
                </c:pt>
                <c:pt idx="33">
                  <c:v>252.26079054975008</c:v>
                </c:pt>
                <c:pt idx="34">
                  <c:v>149.82261850673936</c:v>
                </c:pt>
                <c:pt idx="35">
                  <c:v>155.99734968953507</c:v>
                </c:pt>
                <c:pt idx="36">
                  <c:v>194.08874753899741</c:v>
                </c:pt>
                <c:pt idx="37">
                  <c:v>131.0081023777071</c:v>
                </c:pt>
                <c:pt idx="38">
                  <c:v>149.70702710888992</c:v>
                </c:pt>
                <c:pt idx="39">
                  <c:v>275.19089807663181</c:v>
                </c:pt>
                <c:pt idx="40">
                  <c:v>293.58874753899744</c:v>
                </c:pt>
                <c:pt idx="41">
                  <c:v>174.66132818415875</c:v>
                </c:pt>
                <c:pt idx="42">
                  <c:v>149.00268817204301</c:v>
                </c:pt>
                <c:pt idx="43">
                  <c:v>190.28346206269879</c:v>
                </c:pt>
                <c:pt idx="44">
                  <c:v>126.69322277752538</c:v>
                </c:pt>
                <c:pt idx="45">
                  <c:v>176.38069816749962</c:v>
                </c:pt>
                <c:pt idx="46">
                  <c:v>279.96554596395578</c:v>
                </c:pt>
                <c:pt idx="47">
                  <c:v>232.16984703922458</c:v>
                </c:pt>
                <c:pt idx="48">
                  <c:v>152.16155535362714</c:v>
                </c:pt>
                <c:pt idx="49">
                  <c:v>95.900499772830543</c:v>
                </c:pt>
                <c:pt idx="50">
                  <c:v>191.73383310616384</c:v>
                </c:pt>
                <c:pt idx="51">
                  <c:v>135.48383310616384</c:v>
                </c:pt>
                <c:pt idx="52">
                  <c:v>191.27146751476602</c:v>
                </c:pt>
                <c:pt idx="53">
                  <c:v>314.65049977283053</c:v>
                </c:pt>
                <c:pt idx="54">
                  <c:v>356.31716643949721</c:v>
                </c:pt>
                <c:pt idx="55">
                  <c:v>293.81716643949721</c:v>
                </c:pt>
                <c:pt idx="56">
                  <c:v>87.567166439497186</c:v>
                </c:pt>
                <c:pt idx="57">
                  <c:v>97.983833106163857</c:v>
                </c:pt>
                <c:pt idx="58">
                  <c:v>112.5671664394972</c:v>
                </c:pt>
                <c:pt idx="59">
                  <c:v>129.23383310616384</c:v>
                </c:pt>
                <c:pt idx="60">
                  <c:v>314.65049977283053</c:v>
                </c:pt>
                <c:pt idx="61">
                  <c:v>293.81716643949721</c:v>
                </c:pt>
                <c:pt idx="62">
                  <c:v>252.15049977283056</c:v>
                </c:pt>
                <c:pt idx="63">
                  <c:v>102.15049977283053</c:v>
                </c:pt>
                <c:pt idx="64">
                  <c:v>175.8816825685295</c:v>
                </c:pt>
                <c:pt idx="65">
                  <c:v>175.06716643949721</c:v>
                </c:pt>
                <c:pt idx="66">
                  <c:v>210.48383310616387</c:v>
                </c:pt>
                <c:pt idx="67">
                  <c:v>314.65049977283053</c:v>
                </c:pt>
                <c:pt idx="68">
                  <c:v>335.48383310616384</c:v>
                </c:pt>
                <c:pt idx="69">
                  <c:v>293.81716643949721</c:v>
                </c:pt>
                <c:pt idx="70">
                  <c:v>100.45778434045131</c:v>
                </c:pt>
                <c:pt idx="71">
                  <c:v>190.52498864152659</c:v>
                </c:pt>
                <c:pt idx="72">
                  <c:v>143.64326821141904</c:v>
                </c:pt>
                <c:pt idx="73">
                  <c:v>232.35294563077389</c:v>
                </c:pt>
                <c:pt idx="74">
                  <c:v>316.33144025442982</c:v>
                </c:pt>
                <c:pt idx="75">
                  <c:v>383.1372103589278</c:v>
                </c:pt>
                <c:pt idx="76">
                  <c:v>314.71853702862336</c:v>
                </c:pt>
                <c:pt idx="77">
                  <c:v>116.5203316674239</c:v>
                </c:pt>
                <c:pt idx="78">
                  <c:v>133.20555050734515</c:v>
                </c:pt>
                <c:pt idx="79">
                  <c:v>69.971982432227776</c:v>
                </c:pt>
                <c:pt idx="80">
                  <c:v>88.371952142965313</c:v>
                </c:pt>
                <c:pt idx="81">
                  <c:v>299.66113887626835</c:v>
                </c:pt>
                <c:pt idx="82">
                  <c:v>188.74886415265789</c:v>
                </c:pt>
                <c:pt idx="83">
                  <c:v>137.42393608965619</c:v>
                </c:pt>
                <c:pt idx="84">
                  <c:v>142.24500227169469</c:v>
                </c:pt>
                <c:pt idx="85">
                  <c:v>136.10423292442829</c:v>
                </c:pt>
                <c:pt idx="86">
                  <c:v>239.00310464940176</c:v>
                </c:pt>
                <c:pt idx="87">
                  <c:v>216.98583976980163</c:v>
                </c:pt>
                <c:pt idx="88">
                  <c:v>319.79668332576102</c:v>
                </c:pt>
                <c:pt idx="89">
                  <c:v>232.63327275480842</c:v>
                </c:pt>
                <c:pt idx="90">
                  <c:v>231.82682114190519</c:v>
                </c:pt>
                <c:pt idx="91">
                  <c:v>98.909662274723601</c:v>
                </c:pt>
                <c:pt idx="92">
                  <c:v>201.79944722096016</c:v>
                </c:pt>
                <c:pt idx="93">
                  <c:v>197.31019990913219</c:v>
                </c:pt>
                <c:pt idx="94">
                  <c:v>211.89353324246554</c:v>
                </c:pt>
                <c:pt idx="95">
                  <c:v>336.24837195214297</c:v>
                </c:pt>
                <c:pt idx="96">
                  <c:v>273.74837195214297</c:v>
                </c:pt>
                <c:pt idx="97">
                  <c:v>315.25374829622899</c:v>
                </c:pt>
                <c:pt idx="98">
                  <c:v>97.84832651824928</c:v>
                </c:pt>
                <c:pt idx="99">
                  <c:v>231.06126003331818</c:v>
                </c:pt>
                <c:pt idx="100">
                  <c:v>194.69729668332579</c:v>
                </c:pt>
                <c:pt idx="101">
                  <c:v>272.24405573224294</c:v>
                </c:pt>
                <c:pt idx="102">
                  <c:v>375.62471603816448</c:v>
                </c:pt>
                <c:pt idx="103">
                  <c:v>375.92685143116768</c:v>
                </c:pt>
                <c:pt idx="104">
                  <c:v>375.60427078600634</c:v>
                </c:pt>
                <c:pt idx="105">
                  <c:v>116.49837195214296</c:v>
                </c:pt>
                <c:pt idx="106">
                  <c:v>205.72686657579891</c:v>
                </c:pt>
                <c:pt idx="107">
                  <c:v>189.15697410268058</c:v>
                </c:pt>
                <c:pt idx="108">
                  <c:v>274.84514614569133</c:v>
                </c:pt>
                <c:pt idx="109">
                  <c:v>375.8343934575193</c:v>
                </c:pt>
                <c:pt idx="110">
                  <c:v>313.41503861880966</c:v>
                </c:pt>
                <c:pt idx="111">
                  <c:v>355.16235044676665</c:v>
                </c:pt>
                <c:pt idx="112">
                  <c:v>124.95854157201273</c:v>
                </c:pt>
                <c:pt idx="113">
                  <c:v>206.08814175374829</c:v>
                </c:pt>
                <c:pt idx="114">
                  <c:v>253.50749659245798</c:v>
                </c:pt>
                <c:pt idx="115">
                  <c:v>208.3263289413903</c:v>
                </c:pt>
                <c:pt idx="116">
                  <c:v>314.25374829622899</c:v>
                </c:pt>
                <c:pt idx="117">
                  <c:v>203.93703619566861</c:v>
                </c:pt>
                <c:pt idx="118">
                  <c:v>209.90534605482358</c:v>
                </c:pt>
                <c:pt idx="119">
                  <c:v>71.712024837195216</c:v>
                </c:pt>
                <c:pt idx="120">
                  <c:v>130.69051946085114</c:v>
                </c:pt>
                <c:pt idx="121">
                  <c:v>205.41632591246406</c:v>
                </c:pt>
                <c:pt idx="122">
                  <c:v>146.59912161138877</c:v>
                </c:pt>
                <c:pt idx="123">
                  <c:v>333.75234741784038</c:v>
                </c:pt>
                <c:pt idx="124">
                  <c:v>209.03460548235651</c:v>
                </c:pt>
                <c:pt idx="125">
                  <c:v>271.6313796759049</c:v>
                </c:pt>
                <c:pt idx="126">
                  <c:v>82.789981826442528</c:v>
                </c:pt>
                <c:pt idx="127">
                  <c:v>188.16632591246403</c:v>
                </c:pt>
                <c:pt idx="128">
                  <c:v>230.59374526730272</c:v>
                </c:pt>
                <c:pt idx="129">
                  <c:v>209.35718612751779</c:v>
                </c:pt>
                <c:pt idx="130">
                  <c:v>292.08568075117375</c:v>
                </c:pt>
                <c:pt idx="131">
                  <c:v>292.08568075117375</c:v>
                </c:pt>
                <c:pt idx="132">
                  <c:v>313.20127214902317</c:v>
                </c:pt>
                <c:pt idx="133">
                  <c:v>37.79513100106012</c:v>
                </c:pt>
                <c:pt idx="134">
                  <c:v>82.838141753748303</c:v>
                </c:pt>
                <c:pt idx="135">
                  <c:v>153.69195820081779</c:v>
                </c:pt>
                <c:pt idx="136">
                  <c:v>210.99348780857187</c:v>
                </c:pt>
                <c:pt idx="137">
                  <c:v>230.85953354535815</c:v>
                </c:pt>
                <c:pt idx="138">
                  <c:v>170.46694684234436</c:v>
                </c:pt>
                <c:pt idx="139">
                  <c:v>126.84984098137211</c:v>
                </c:pt>
                <c:pt idx="140">
                  <c:v>92.669256398606692</c:v>
                </c:pt>
                <c:pt idx="141">
                  <c:v>155.39506285021963</c:v>
                </c:pt>
                <c:pt idx="142">
                  <c:v>271.4165682265637</c:v>
                </c:pt>
                <c:pt idx="143">
                  <c:v>250.51871876419807</c:v>
                </c:pt>
                <c:pt idx="144">
                  <c:v>291.97570801150994</c:v>
                </c:pt>
                <c:pt idx="145">
                  <c:v>360.42086930183251</c:v>
                </c:pt>
                <c:pt idx="146">
                  <c:v>375.42194457064971</c:v>
                </c:pt>
                <c:pt idx="147">
                  <c:v>94.462267151294867</c:v>
                </c:pt>
                <c:pt idx="148">
                  <c:v>167.8466757534454</c:v>
                </c:pt>
                <c:pt idx="149">
                  <c:v>231.35848856580341</c:v>
                </c:pt>
                <c:pt idx="150">
                  <c:v>313.26065424806905</c:v>
                </c:pt>
                <c:pt idx="151">
                  <c:v>396.48108435559595</c:v>
                </c:pt>
                <c:pt idx="152">
                  <c:v>375.34129940935941</c:v>
                </c:pt>
                <c:pt idx="153">
                  <c:v>271.31979403301528</c:v>
                </c:pt>
                <c:pt idx="154">
                  <c:v>65.689080720884448</c:v>
                </c:pt>
                <c:pt idx="155">
                  <c:v>127.71058609722854</c:v>
                </c:pt>
                <c:pt idx="156">
                  <c:v>185.73746781765865</c:v>
                </c:pt>
                <c:pt idx="157">
                  <c:v>170.71865061335757</c:v>
                </c:pt>
                <c:pt idx="158">
                  <c:v>314.46865061335757</c:v>
                </c:pt>
                <c:pt idx="159">
                  <c:v>251.96865061335754</c:v>
                </c:pt>
                <c:pt idx="160">
                  <c:v>376.96865061335757</c:v>
                </c:pt>
                <c:pt idx="161">
                  <c:v>79.425791306981665</c:v>
                </c:pt>
                <c:pt idx="162">
                  <c:v>74.23006966530366</c:v>
                </c:pt>
                <c:pt idx="163">
                  <c:v>165.86101771921855</c:v>
                </c:pt>
                <c:pt idx="164">
                  <c:v>207.24671361502345</c:v>
                </c:pt>
                <c:pt idx="165">
                  <c:v>294.30573981523548</c:v>
                </c:pt>
                <c:pt idx="166">
                  <c:v>293.2174163259125</c:v>
                </c:pt>
                <c:pt idx="167">
                  <c:v>292.48470392245952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FF-4D0B-9E3E-2B6E54D139EA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コア期間!$BL$196:$BL$197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コア期間!$BM$196:$BM$197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FF-4D0B-9E3E-2B6E54D139EA}"/>
            </c:ext>
          </c:extLst>
        </c:ser>
        <c:ser>
          <c:idx val="2"/>
          <c:order val="2"/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コア期間!$BL$199:$BL$200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コア期間!$BM$199:$BM$200</c:f>
              <c:numCache>
                <c:formatCode>General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FF-4D0B-9E3E-2B6E54D139EA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コア期間!$BL$202:$BL$203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コア期間!$BM$202:$BM$203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FF-4D0B-9E3E-2B6E54D1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843720"/>
        <c:axId val="1"/>
      </c:scatterChart>
      <c:valAx>
        <c:axId val="426843720"/>
        <c:scaling>
          <c:orientation val="minMax"/>
          <c:max val="60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/>
                  <a:t>陽イオン当量濃度 </a:t>
                </a:r>
                <a:r>
                  <a:rPr lang="en-US" altLang="ja-JP"/>
                  <a:t>[neq/m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/>
                  <a:t>陰イオン当量濃度 </a:t>
                </a:r>
                <a:r>
                  <a:rPr lang="en-US" altLang="ja-JP"/>
                  <a:t>[neq/m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268437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コア期間!$B$27:$B$194</c:f>
              <c:numCache>
                <c:formatCode>0.0_);[Red]\(0.0\)</c:formatCode>
                <c:ptCount val="168"/>
                <c:pt idx="0">
                  <c:v>23.2</c:v>
                </c:pt>
                <c:pt idx="1">
                  <c:v>27.9</c:v>
                </c:pt>
                <c:pt idx="2">
                  <c:v>19.600000000000001</c:v>
                </c:pt>
                <c:pt idx="3">
                  <c:v>20.5</c:v>
                </c:pt>
                <c:pt idx="4">
                  <c:v>30.8</c:v>
                </c:pt>
                <c:pt idx="5">
                  <c:v>38.5</c:v>
                </c:pt>
                <c:pt idx="6">
                  <c:v>28.5</c:v>
                </c:pt>
                <c:pt idx="7">
                  <c:v>17.8</c:v>
                </c:pt>
                <c:pt idx="8">
                  <c:v>26.9</c:v>
                </c:pt>
                <c:pt idx="9">
                  <c:v>16.5</c:v>
                </c:pt>
                <c:pt idx="10">
                  <c:v>17.100000000000001</c:v>
                </c:pt>
                <c:pt idx="11">
                  <c:v>23.1</c:v>
                </c:pt>
                <c:pt idx="12">
                  <c:v>38.200000000000003</c:v>
                </c:pt>
                <c:pt idx="13">
                  <c:v>25.1</c:v>
                </c:pt>
                <c:pt idx="14">
                  <c:v>12.8</c:v>
                </c:pt>
                <c:pt idx="15">
                  <c:v>16.600000000000001</c:v>
                </c:pt>
                <c:pt idx="16">
                  <c:v>17.3</c:v>
                </c:pt>
                <c:pt idx="17">
                  <c:v>14.7</c:v>
                </c:pt>
                <c:pt idx="18">
                  <c:v>24.6</c:v>
                </c:pt>
                <c:pt idx="19">
                  <c:v>18.899999999999999</c:v>
                </c:pt>
                <c:pt idx="20">
                  <c:v>13.3</c:v>
                </c:pt>
                <c:pt idx="21">
                  <c:v>21.1</c:v>
                </c:pt>
                <c:pt idx="22">
                  <c:v>23.2</c:v>
                </c:pt>
                <c:pt idx="23">
                  <c:v>19.100000000000001</c:v>
                </c:pt>
                <c:pt idx="24">
                  <c:v>22.3</c:v>
                </c:pt>
                <c:pt idx="25">
                  <c:v>30.5</c:v>
                </c:pt>
                <c:pt idx="26">
                  <c:v>29.5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20</c:v>
                </c:pt>
                <c:pt idx="31">
                  <c:v>22</c:v>
                </c:pt>
                <c:pt idx="32">
                  <c:v>31</c:v>
                </c:pt>
                <c:pt idx="33">
                  <c:v>30</c:v>
                </c:pt>
                <c:pt idx="34">
                  <c:v>18</c:v>
                </c:pt>
                <c:pt idx="35">
                  <c:v>21</c:v>
                </c:pt>
                <c:pt idx="36">
                  <c:v>25</c:v>
                </c:pt>
                <c:pt idx="37">
                  <c:v>18</c:v>
                </c:pt>
                <c:pt idx="38">
                  <c:v>20</c:v>
                </c:pt>
                <c:pt idx="39">
                  <c:v>30</c:v>
                </c:pt>
                <c:pt idx="40">
                  <c:v>32</c:v>
                </c:pt>
                <c:pt idx="41">
                  <c:v>22</c:v>
                </c:pt>
                <c:pt idx="42">
                  <c:v>21.7</c:v>
                </c:pt>
                <c:pt idx="43">
                  <c:v>26.5</c:v>
                </c:pt>
                <c:pt idx="44">
                  <c:v>19.7</c:v>
                </c:pt>
                <c:pt idx="45">
                  <c:v>24.9</c:v>
                </c:pt>
                <c:pt idx="46">
                  <c:v>31.3</c:v>
                </c:pt>
                <c:pt idx="47">
                  <c:v>31.5</c:v>
                </c:pt>
                <c:pt idx="48">
                  <c:v>23.1</c:v>
                </c:pt>
                <c:pt idx="49">
                  <c:v>16.2</c:v>
                </c:pt>
                <c:pt idx="50">
                  <c:v>23.7</c:v>
                </c:pt>
                <c:pt idx="51">
                  <c:v>19.3</c:v>
                </c:pt>
                <c:pt idx="52">
                  <c:v>27.2</c:v>
                </c:pt>
                <c:pt idx="53">
                  <c:v>39.700000000000003</c:v>
                </c:pt>
                <c:pt idx="54">
                  <c:v>30.7</c:v>
                </c:pt>
                <c:pt idx="55">
                  <c:v>26.8</c:v>
                </c:pt>
                <c:pt idx="56">
                  <c:v>10.7</c:v>
                </c:pt>
                <c:pt idx="57">
                  <c:v>15</c:v>
                </c:pt>
                <c:pt idx="58">
                  <c:v>14.1</c:v>
                </c:pt>
                <c:pt idx="59">
                  <c:v>15.3</c:v>
                </c:pt>
                <c:pt idx="60">
                  <c:v>26.4</c:v>
                </c:pt>
                <c:pt idx="61">
                  <c:v>27.5</c:v>
                </c:pt>
                <c:pt idx="62">
                  <c:v>24.1</c:v>
                </c:pt>
                <c:pt idx="63">
                  <c:v>13.7</c:v>
                </c:pt>
                <c:pt idx="64">
                  <c:v>24.3</c:v>
                </c:pt>
                <c:pt idx="65">
                  <c:v>21.3</c:v>
                </c:pt>
                <c:pt idx="66">
                  <c:v>25.4</c:v>
                </c:pt>
                <c:pt idx="67">
                  <c:v>31.4</c:v>
                </c:pt>
                <c:pt idx="68">
                  <c:v>30.9</c:v>
                </c:pt>
                <c:pt idx="69">
                  <c:v>30</c:v>
                </c:pt>
                <c:pt idx="70">
                  <c:v>15.541666666666664</c:v>
                </c:pt>
                <c:pt idx="71">
                  <c:v>21.520833333332863</c:v>
                </c:pt>
                <c:pt idx="72">
                  <c:v>17.91666666666616</c:v>
                </c:pt>
                <c:pt idx="73">
                  <c:v>22.833333333331431</c:v>
                </c:pt>
                <c:pt idx="74">
                  <c:v>28.583333333332835</c:v>
                </c:pt>
                <c:pt idx="75">
                  <c:v>35.395833333332803</c:v>
                </c:pt>
                <c:pt idx="76">
                  <c:v>30.83333333333292</c:v>
                </c:pt>
                <c:pt idx="77">
                  <c:v>19.8</c:v>
                </c:pt>
                <c:pt idx="78">
                  <c:v>27.4</c:v>
                </c:pt>
                <c:pt idx="79">
                  <c:v>21</c:v>
                </c:pt>
                <c:pt idx="80">
                  <c:v>25.4</c:v>
                </c:pt>
                <c:pt idx="81">
                  <c:v>37</c:v>
                </c:pt>
                <c:pt idx="82">
                  <c:v>39.799999999999997</c:v>
                </c:pt>
                <c:pt idx="83">
                  <c:v>26.3</c:v>
                </c:pt>
                <c:pt idx="84">
                  <c:v>21.5</c:v>
                </c:pt>
                <c:pt idx="85">
                  <c:v>29.2</c:v>
                </c:pt>
                <c:pt idx="86">
                  <c:v>26.9</c:v>
                </c:pt>
                <c:pt idx="87">
                  <c:v>25</c:v>
                </c:pt>
                <c:pt idx="88">
                  <c:v>32.299999999999997</c:v>
                </c:pt>
                <c:pt idx="89">
                  <c:v>26.7</c:v>
                </c:pt>
                <c:pt idx="90">
                  <c:v>24</c:v>
                </c:pt>
                <c:pt idx="91">
                  <c:v>15.6</c:v>
                </c:pt>
                <c:pt idx="92">
                  <c:v>26.3</c:v>
                </c:pt>
                <c:pt idx="93">
                  <c:v>22.5</c:v>
                </c:pt>
                <c:pt idx="94">
                  <c:v>23.5</c:v>
                </c:pt>
                <c:pt idx="95">
                  <c:v>30</c:v>
                </c:pt>
                <c:pt idx="96">
                  <c:v>29.8</c:v>
                </c:pt>
                <c:pt idx="97">
                  <c:v>28.8</c:v>
                </c:pt>
                <c:pt idx="98">
                  <c:v>14</c:v>
                </c:pt>
                <c:pt idx="99">
                  <c:v>26.2</c:v>
                </c:pt>
                <c:pt idx="100">
                  <c:v>19.8</c:v>
                </c:pt>
                <c:pt idx="101">
                  <c:v>25.4</c:v>
                </c:pt>
                <c:pt idx="102">
                  <c:v>33.799999999999997</c:v>
                </c:pt>
                <c:pt idx="103">
                  <c:v>35.5</c:v>
                </c:pt>
                <c:pt idx="104">
                  <c:v>31</c:v>
                </c:pt>
                <c:pt idx="105">
                  <c:v>15.6</c:v>
                </c:pt>
                <c:pt idx="106">
                  <c:v>23.9</c:v>
                </c:pt>
                <c:pt idx="107">
                  <c:v>21</c:v>
                </c:pt>
                <c:pt idx="108">
                  <c:v>25.6</c:v>
                </c:pt>
                <c:pt idx="109">
                  <c:v>33.6</c:v>
                </c:pt>
                <c:pt idx="110">
                  <c:v>32.9</c:v>
                </c:pt>
                <c:pt idx="111">
                  <c:v>32.9</c:v>
                </c:pt>
                <c:pt idx="112">
                  <c:v>20.6</c:v>
                </c:pt>
                <c:pt idx="113">
                  <c:v>28.9</c:v>
                </c:pt>
                <c:pt idx="114">
                  <c:v>25.8</c:v>
                </c:pt>
                <c:pt idx="115">
                  <c:v>24.5</c:v>
                </c:pt>
                <c:pt idx="116">
                  <c:v>31.2</c:v>
                </c:pt>
                <c:pt idx="117">
                  <c:v>25.4</c:v>
                </c:pt>
                <c:pt idx="118">
                  <c:v>24.1</c:v>
                </c:pt>
                <c:pt idx="119">
                  <c:v>13.6</c:v>
                </c:pt>
                <c:pt idx="120">
                  <c:v>22.2</c:v>
                </c:pt>
                <c:pt idx="121">
                  <c:v>28.3</c:v>
                </c:pt>
                <c:pt idx="122">
                  <c:v>19.8</c:v>
                </c:pt>
                <c:pt idx="123">
                  <c:v>35.799999999999997</c:v>
                </c:pt>
                <c:pt idx="124">
                  <c:v>26</c:v>
                </c:pt>
                <c:pt idx="125">
                  <c:v>30.5</c:v>
                </c:pt>
                <c:pt idx="126">
                  <c:v>17.3</c:v>
                </c:pt>
                <c:pt idx="127">
                  <c:v>26.8</c:v>
                </c:pt>
                <c:pt idx="128">
                  <c:v>27.8</c:v>
                </c:pt>
                <c:pt idx="129">
                  <c:v>23.8</c:v>
                </c:pt>
                <c:pt idx="130">
                  <c:v>30.3</c:v>
                </c:pt>
                <c:pt idx="131">
                  <c:v>29.7</c:v>
                </c:pt>
                <c:pt idx="132">
                  <c:v>30.9</c:v>
                </c:pt>
                <c:pt idx="133">
                  <c:v>12.7</c:v>
                </c:pt>
                <c:pt idx="134">
                  <c:v>12.3</c:v>
                </c:pt>
                <c:pt idx="135">
                  <c:v>17.5</c:v>
                </c:pt>
                <c:pt idx="136">
                  <c:v>23</c:v>
                </c:pt>
                <c:pt idx="137">
                  <c:v>26.6</c:v>
                </c:pt>
                <c:pt idx="138">
                  <c:v>22.4</c:v>
                </c:pt>
                <c:pt idx="139">
                  <c:v>20</c:v>
                </c:pt>
                <c:pt idx="140">
                  <c:v>11.2</c:v>
                </c:pt>
                <c:pt idx="141">
                  <c:v>26.3</c:v>
                </c:pt>
                <c:pt idx="142">
                  <c:v>31.3</c:v>
                </c:pt>
                <c:pt idx="143">
                  <c:v>28.6</c:v>
                </c:pt>
                <c:pt idx="144">
                  <c:v>33.5</c:v>
                </c:pt>
                <c:pt idx="145">
                  <c:v>32.700000000000003</c:v>
                </c:pt>
                <c:pt idx="146">
                  <c:v>33.6</c:v>
                </c:pt>
                <c:pt idx="147">
                  <c:v>12</c:v>
                </c:pt>
                <c:pt idx="148">
                  <c:v>22</c:v>
                </c:pt>
                <c:pt idx="149">
                  <c:v>29.1</c:v>
                </c:pt>
                <c:pt idx="150">
                  <c:v>35.700000000000003</c:v>
                </c:pt>
                <c:pt idx="151">
                  <c:v>38.9</c:v>
                </c:pt>
                <c:pt idx="152">
                  <c:v>32.9</c:v>
                </c:pt>
                <c:pt idx="153">
                  <c:v>24</c:v>
                </c:pt>
                <c:pt idx="154">
                  <c:v>11</c:v>
                </c:pt>
                <c:pt idx="155">
                  <c:v>23</c:v>
                </c:pt>
                <c:pt idx="156">
                  <c:v>27.8</c:v>
                </c:pt>
                <c:pt idx="157">
                  <c:v>24.2</c:v>
                </c:pt>
                <c:pt idx="158">
                  <c:v>35.200000000000003</c:v>
                </c:pt>
                <c:pt idx="159">
                  <c:v>29.4</c:v>
                </c:pt>
                <c:pt idx="160">
                  <c:v>38</c:v>
                </c:pt>
                <c:pt idx="161">
                  <c:v>10</c:v>
                </c:pt>
                <c:pt idx="162">
                  <c:v>15.2</c:v>
                </c:pt>
                <c:pt idx="163">
                  <c:v>26.2</c:v>
                </c:pt>
                <c:pt idx="164">
                  <c:v>31.2</c:v>
                </c:pt>
                <c:pt idx="165">
                  <c:v>38.200000000000003</c:v>
                </c:pt>
                <c:pt idx="166">
                  <c:v>37.799999999999997</c:v>
                </c:pt>
                <c:pt idx="167">
                  <c:v>34.1</c:v>
                </c:pt>
              </c:numCache>
            </c:numRef>
          </c:xVal>
          <c:yVal>
            <c:numRef>
              <c:f>コア期間!$BY$27:$BY$194</c:f>
              <c:numCache>
                <c:formatCode>0.0_);[Red]\(0.0\)</c:formatCode>
                <c:ptCount val="168"/>
                <c:pt idx="0">
                  <c:v>20.191559000000005</c:v>
                </c:pt>
                <c:pt idx="1">
                  <c:v>23.116979000000001</c:v>
                </c:pt>
                <c:pt idx="2">
                  <c:v>17.125929000000003</c:v>
                </c:pt>
                <c:pt idx="3">
                  <c:v>18.629570000000001</c:v>
                </c:pt>
                <c:pt idx="4">
                  <c:v>24.541490000000003</c:v>
                </c:pt>
                <c:pt idx="5">
                  <c:v>31.988358999999999</c:v>
                </c:pt>
                <c:pt idx="6">
                  <c:v>23.934128999999999</c:v>
                </c:pt>
                <c:pt idx="7">
                  <c:v>16.879980000000003</c:v>
                </c:pt>
                <c:pt idx="8">
                  <c:v>22.155518999999998</c:v>
                </c:pt>
                <c:pt idx="9">
                  <c:v>14.422229500000002</c:v>
                </c:pt>
                <c:pt idx="10">
                  <c:v>16.617695000000001</c:v>
                </c:pt>
                <c:pt idx="11">
                  <c:v>21.097029999999997</c:v>
                </c:pt>
                <c:pt idx="12">
                  <c:v>34.957656999999998</c:v>
                </c:pt>
                <c:pt idx="13">
                  <c:v>23.121612000000002</c:v>
                </c:pt>
                <c:pt idx="14">
                  <c:v>15.52422</c:v>
                </c:pt>
                <c:pt idx="15">
                  <c:v>9.3858249999999988</c:v>
                </c:pt>
                <c:pt idx="16">
                  <c:v>13.06617</c:v>
                </c:pt>
                <c:pt idx="17">
                  <c:v>13.065595</c:v>
                </c:pt>
                <c:pt idx="18">
                  <c:v>19.439890000000002</c:v>
                </c:pt>
                <c:pt idx="19">
                  <c:v>17.628779999999999</c:v>
                </c:pt>
                <c:pt idx="20">
                  <c:v>12.374560000000001</c:v>
                </c:pt>
                <c:pt idx="21">
                  <c:v>18.508989999999997</c:v>
                </c:pt>
                <c:pt idx="22">
                  <c:v>20.208805000000005</c:v>
                </c:pt>
                <c:pt idx="23">
                  <c:v>16.91422</c:v>
                </c:pt>
                <c:pt idx="24">
                  <c:v>20.010104999999999</c:v>
                </c:pt>
                <c:pt idx="25">
                  <c:v>28.084540000000004</c:v>
                </c:pt>
                <c:pt idx="26">
                  <c:v>27.619090000000003</c:v>
                </c:pt>
                <c:pt idx="27">
                  <c:v>15.040620000000002</c:v>
                </c:pt>
                <c:pt idx="28">
                  <c:v>22.119710000000001</c:v>
                </c:pt>
                <c:pt idx="29">
                  <c:v>23.329472000000003</c:v>
                </c:pt>
                <c:pt idx="30">
                  <c:v>18.201222000000001</c:v>
                </c:pt>
                <c:pt idx="31">
                  <c:v>20.176733000000002</c:v>
                </c:pt>
                <c:pt idx="32">
                  <c:v>28.217825000000001</c:v>
                </c:pt>
                <c:pt idx="33">
                  <c:v>28.043707000000001</c:v>
                </c:pt>
                <c:pt idx="34">
                  <c:v>18.215205999999998</c:v>
                </c:pt>
                <c:pt idx="35">
                  <c:v>18.905391000000002</c:v>
                </c:pt>
                <c:pt idx="36">
                  <c:v>22.188364</c:v>
                </c:pt>
                <c:pt idx="37">
                  <c:v>15.938902000000001</c:v>
                </c:pt>
                <c:pt idx="38">
                  <c:v>18.155910999999996</c:v>
                </c:pt>
                <c:pt idx="39">
                  <c:v>27.274012000000006</c:v>
                </c:pt>
                <c:pt idx="40">
                  <c:v>28.662593000000005</c:v>
                </c:pt>
                <c:pt idx="41">
                  <c:v>20.200856000000002</c:v>
                </c:pt>
                <c:pt idx="42">
                  <c:v>21.365245999999999</c:v>
                </c:pt>
                <c:pt idx="43">
                  <c:v>24.598750000000003</c:v>
                </c:pt>
                <c:pt idx="44">
                  <c:v>18.768021000000005</c:v>
                </c:pt>
                <c:pt idx="45">
                  <c:v>22.140279999999997</c:v>
                </c:pt>
                <c:pt idx="46">
                  <c:v>28.581280000000003</c:v>
                </c:pt>
                <c:pt idx="47">
                  <c:v>27.650298999999997</c:v>
                </c:pt>
                <c:pt idx="48">
                  <c:v>22.364750000000001</c:v>
                </c:pt>
                <c:pt idx="49">
                  <c:v>12.356393000000001</c:v>
                </c:pt>
                <c:pt idx="50">
                  <c:v>20.749699000000003</c:v>
                </c:pt>
                <c:pt idx="51">
                  <c:v>16.690234999999998</c:v>
                </c:pt>
                <c:pt idx="52">
                  <c:v>22.483998999999997</c:v>
                </c:pt>
                <c:pt idx="53">
                  <c:v>31.432055000000002</c:v>
                </c:pt>
                <c:pt idx="54">
                  <c:v>31.433715999999997</c:v>
                </c:pt>
                <c:pt idx="55">
                  <c:v>27.168718000000002</c:v>
                </c:pt>
                <c:pt idx="56">
                  <c:v>9.5553439999999981</c:v>
                </c:pt>
                <c:pt idx="57">
                  <c:v>11.078504450000002</c:v>
                </c:pt>
                <c:pt idx="58">
                  <c:v>11.638741</c:v>
                </c:pt>
                <c:pt idx="59">
                  <c:v>12.508972000000002</c:v>
                </c:pt>
                <c:pt idx="60">
                  <c:v>25.097057</c:v>
                </c:pt>
                <c:pt idx="61">
                  <c:v>23.626951000000005</c:v>
                </c:pt>
                <c:pt idx="62">
                  <c:v>20.236903000000005</c:v>
                </c:pt>
                <c:pt idx="63">
                  <c:v>12.077455000000002</c:v>
                </c:pt>
                <c:pt idx="64">
                  <c:v>19.566278000000001</c:v>
                </c:pt>
                <c:pt idx="65">
                  <c:v>18.626162000000004</c:v>
                </c:pt>
                <c:pt idx="66">
                  <c:v>23.166140000000006</c:v>
                </c:pt>
                <c:pt idx="67">
                  <c:v>27.547030000000007</c:v>
                </c:pt>
                <c:pt idx="68">
                  <c:v>28.397925000000001</c:v>
                </c:pt>
                <c:pt idx="69">
                  <c:v>25.549804999999999</c:v>
                </c:pt>
                <c:pt idx="70">
                  <c:v>15.830639000000001</c:v>
                </c:pt>
                <c:pt idx="71">
                  <c:v>20.650931000000003</c:v>
                </c:pt>
                <c:pt idx="72">
                  <c:v>17.073199000000002</c:v>
                </c:pt>
                <c:pt idx="73">
                  <c:v>23.676545000000004</c:v>
                </c:pt>
                <c:pt idx="74">
                  <c:v>29.553118999999995</c:v>
                </c:pt>
                <c:pt idx="75">
                  <c:v>34.938203000000001</c:v>
                </c:pt>
                <c:pt idx="76">
                  <c:v>29.646113999999997</c:v>
                </c:pt>
                <c:pt idx="77">
                  <c:v>14.945550000000001</c:v>
                </c:pt>
                <c:pt idx="78">
                  <c:v>15.84545</c:v>
                </c:pt>
                <c:pt idx="79">
                  <c:v>11.236510000000001</c:v>
                </c:pt>
                <c:pt idx="80">
                  <c:v>13.28809</c:v>
                </c:pt>
                <c:pt idx="81">
                  <c:v>27.810480000000002</c:v>
                </c:pt>
                <c:pt idx="82">
                  <c:v>20.525749999999999</c:v>
                </c:pt>
                <c:pt idx="83">
                  <c:v>16.467380000000002</c:v>
                </c:pt>
                <c:pt idx="84">
                  <c:v>16.760009999999998</c:v>
                </c:pt>
                <c:pt idx="85">
                  <c:v>15.520709999999999</c:v>
                </c:pt>
                <c:pt idx="86">
                  <c:v>22.53961</c:v>
                </c:pt>
                <c:pt idx="87">
                  <c:v>20.802710000000001</c:v>
                </c:pt>
                <c:pt idx="88">
                  <c:v>28.190709999999999</c:v>
                </c:pt>
                <c:pt idx="89">
                  <c:v>24.119790000000002</c:v>
                </c:pt>
                <c:pt idx="90">
                  <c:v>21.058609999999998</c:v>
                </c:pt>
                <c:pt idx="91">
                  <c:v>14.925094999999999</c:v>
                </c:pt>
                <c:pt idx="92">
                  <c:v>22.908034000000001</c:v>
                </c:pt>
                <c:pt idx="93">
                  <c:v>19.113225000000003</c:v>
                </c:pt>
                <c:pt idx="94">
                  <c:v>20.928377000000001</c:v>
                </c:pt>
                <c:pt idx="95">
                  <c:v>28.505815999999999</c:v>
                </c:pt>
                <c:pt idx="96">
                  <c:v>26.164984000000004</c:v>
                </c:pt>
                <c:pt idx="97">
                  <c:v>27.492240000000002</c:v>
                </c:pt>
                <c:pt idx="98">
                  <c:v>12.861388999999999</c:v>
                </c:pt>
                <c:pt idx="99">
                  <c:v>25.165191999999994</c:v>
                </c:pt>
                <c:pt idx="100">
                  <c:v>18.667674000000002</c:v>
                </c:pt>
                <c:pt idx="101">
                  <c:v>23.914169999999999</c:v>
                </c:pt>
                <c:pt idx="102">
                  <c:v>31.331067999999998</c:v>
                </c:pt>
                <c:pt idx="103">
                  <c:v>33.381008000000008</c:v>
                </c:pt>
                <c:pt idx="104">
                  <c:v>30.917208000000006</c:v>
                </c:pt>
                <c:pt idx="105">
                  <c:v>16.826103999999997</c:v>
                </c:pt>
                <c:pt idx="106">
                  <c:v>24.08925</c:v>
                </c:pt>
                <c:pt idx="107">
                  <c:v>21.330610999999994</c:v>
                </c:pt>
                <c:pt idx="108">
                  <c:v>26.458977000000004</c:v>
                </c:pt>
                <c:pt idx="109">
                  <c:v>33.224300000000014</c:v>
                </c:pt>
                <c:pt idx="110">
                  <c:v>30.371378</c:v>
                </c:pt>
                <c:pt idx="111">
                  <c:v>31.767984000000002</c:v>
                </c:pt>
                <c:pt idx="112">
                  <c:v>19.720545000000001</c:v>
                </c:pt>
                <c:pt idx="113">
                  <c:v>26.261632999999996</c:v>
                </c:pt>
                <c:pt idx="114">
                  <c:v>24.242736000000004</c:v>
                </c:pt>
                <c:pt idx="115">
                  <c:v>21.474524000000002</c:v>
                </c:pt>
                <c:pt idx="116">
                  <c:v>29.113353</c:v>
                </c:pt>
                <c:pt idx="117">
                  <c:v>23.650920999999997</c:v>
                </c:pt>
                <c:pt idx="118">
                  <c:v>21.544383</c:v>
                </c:pt>
                <c:pt idx="119">
                  <c:v>13.605702300000001</c:v>
                </c:pt>
                <c:pt idx="120">
                  <c:v>18.163736200000002</c:v>
                </c:pt>
                <c:pt idx="121">
                  <c:v>23.819775</c:v>
                </c:pt>
                <c:pt idx="122">
                  <c:v>16.415430100000002</c:v>
                </c:pt>
                <c:pt idx="123">
                  <c:v>31.524182000000003</c:v>
                </c:pt>
                <c:pt idx="124">
                  <c:v>23.236900000000002</c:v>
                </c:pt>
                <c:pt idx="125">
                  <c:v>27.7269328</c:v>
                </c:pt>
                <c:pt idx="126">
                  <c:v>15.167214000000001</c:v>
                </c:pt>
                <c:pt idx="127">
                  <c:v>22.254209299999996</c:v>
                </c:pt>
                <c:pt idx="128">
                  <c:v>23.771834999999996</c:v>
                </c:pt>
                <c:pt idx="129">
                  <c:v>20.924062300000003</c:v>
                </c:pt>
                <c:pt idx="130">
                  <c:v>28.515262</c:v>
                </c:pt>
                <c:pt idx="131">
                  <c:v>26.980233000000002</c:v>
                </c:pt>
                <c:pt idx="132">
                  <c:v>29.761173000000007</c:v>
                </c:pt>
                <c:pt idx="133">
                  <c:v>9.1106359999999995</c:v>
                </c:pt>
                <c:pt idx="134">
                  <c:v>9.7886259999999989</c:v>
                </c:pt>
                <c:pt idx="135">
                  <c:v>14.374077000000003</c:v>
                </c:pt>
                <c:pt idx="136">
                  <c:v>18.882715999999999</c:v>
                </c:pt>
                <c:pt idx="137">
                  <c:v>21.797176</c:v>
                </c:pt>
                <c:pt idx="138">
                  <c:v>18.747662999999999</c:v>
                </c:pt>
                <c:pt idx="139">
                  <c:v>15.606549999999997</c:v>
                </c:pt>
                <c:pt idx="140">
                  <c:v>9.7696530000000035</c:v>
                </c:pt>
                <c:pt idx="141">
                  <c:v>20.024384000000001</c:v>
                </c:pt>
                <c:pt idx="142">
                  <c:v>24.173546999999999</c:v>
                </c:pt>
                <c:pt idx="143">
                  <c:v>22.632069500000004</c:v>
                </c:pt>
                <c:pt idx="144">
                  <c:v>26.382131000000005</c:v>
                </c:pt>
                <c:pt idx="145">
                  <c:v>30.171296000000002</c:v>
                </c:pt>
                <c:pt idx="146">
                  <c:v>30.488485000000004</c:v>
                </c:pt>
                <c:pt idx="147">
                  <c:v>10.542541</c:v>
                </c:pt>
                <c:pt idx="148">
                  <c:v>16.873494000000004</c:v>
                </c:pt>
                <c:pt idx="149">
                  <c:v>22.563972</c:v>
                </c:pt>
                <c:pt idx="150">
                  <c:v>27.658971000000001</c:v>
                </c:pt>
                <c:pt idx="151">
                  <c:v>32.194809999999997</c:v>
                </c:pt>
                <c:pt idx="152">
                  <c:v>28.251558999999997</c:v>
                </c:pt>
                <c:pt idx="153">
                  <c:v>20.456018499999999</c:v>
                </c:pt>
                <c:pt idx="154">
                  <c:v>10.0096585</c:v>
                </c:pt>
                <c:pt idx="155">
                  <c:v>18.856649999999995</c:v>
                </c:pt>
                <c:pt idx="156">
                  <c:v>21.481740000000002</c:v>
                </c:pt>
                <c:pt idx="157">
                  <c:v>18.6693666</c:v>
                </c:pt>
                <c:pt idx="158">
                  <c:v>28.788978999999998</c:v>
                </c:pt>
                <c:pt idx="159">
                  <c:v>24.604990999999995</c:v>
                </c:pt>
                <c:pt idx="160">
                  <c:v>32.334757000000003</c:v>
                </c:pt>
                <c:pt idx="161">
                  <c:v>9.1934165000000014</c:v>
                </c:pt>
                <c:pt idx="162">
                  <c:v>11.742430500000001</c:v>
                </c:pt>
                <c:pt idx="163">
                  <c:v>20.324736500000004</c:v>
                </c:pt>
                <c:pt idx="164">
                  <c:v>23.005256500000002</c:v>
                </c:pt>
                <c:pt idx="165">
                  <c:v>29.228894999999998</c:v>
                </c:pt>
                <c:pt idx="166">
                  <c:v>27.986761999999999</c:v>
                </c:pt>
                <c:pt idx="167">
                  <c:v>23.980586500000001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D8-4638-ADB0-320EFF570C94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コア期間!$BL$196:$BL$197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コア期間!$BM$196:$BM$197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D8-4638-ADB0-320EFF570C94}"/>
            </c:ext>
          </c:extLst>
        </c:ser>
        <c:ser>
          <c:idx val="2"/>
          <c:order val="2"/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コア期間!$BL$199:$BL$200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コア期間!$BM$199:$BM$200</c:f>
              <c:numCache>
                <c:formatCode>General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D8-4638-ADB0-320EFF570C94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コア期間!$BL$202:$BL$203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コア期間!$BM$202:$BM$203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D8-4638-ADB0-320EFF570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837488"/>
        <c:axId val="1"/>
      </c:scatterChart>
      <c:valAx>
        <c:axId val="426837488"/>
        <c:scaling>
          <c:orientation val="minMax"/>
          <c:max val="5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en-US" altLang="ja-JP"/>
                  <a:t>PM</a:t>
                </a:r>
                <a:r>
                  <a:rPr lang="en-US" altLang="ja-JP" baseline="-25000"/>
                  <a:t>2.5</a:t>
                </a:r>
                <a:r>
                  <a:rPr lang="ja-JP" altLang="en-US"/>
                  <a:t>質量濃度（標準） </a:t>
                </a:r>
                <a:r>
                  <a:rPr lang="en-US" altLang="ja-JP"/>
                  <a:t>[µg/m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5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en-US" altLang="ja-JP"/>
                  <a:t>PM</a:t>
                </a:r>
                <a:r>
                  <a:rPr lang="en-US" altLang="ja-JP" baseline="-25000"/>
                  <a:t>2.5</a:t>
                </a:r>
                <a:r>
                  <a:rPr lang="ja-JP" altLang="en-US"/>
                  <a:t>質量濃度（推定） </a:t>
                </a:r>
                <a:r>
                  <a:rPr lang="en-US" altLang="ja-JP"/>
                  <a:t>[µg/m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26837488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9166666666666667E-2"/>
                  <c:y val="8.4848484848484784E-2"/>
                </c:manualLayout>
              </c:layout>
              <c:tx>
                <c:rich>
                  <a:bodyPr/>
                  <a:lstStyle/>
                  <a:p>
                    <a:fld id="{96587910-01D5-4FAE-B382-FE630CD066D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C51-4C4B-AA2B-29392A4019D8}"/>
                </c:ext>
              </c:extLst>
            </c:dLbl>
            <c:dLbl>
              <c:idx val="1"/>
              <c:layout>
                <c:manualLayout>
                  <c:x val="3.4722222222222224E-2"/>
                  <c:y val="0.17300275482093649"/>
                </c:manualLayout>
              </c:layout>
              <c:tx>
                <c:rich>
                  <a:bodyPr/>
                  <a:lstStyle/>
                  <a:p>
                    <a:fld id="{27A181A4-2630-4FC6-9775-3C015544D24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C51-4C4B-AA2B-29392A4019D8}"/>
                </c:ext>
              </c:extLst>
            </c:dLbl>
            <c:dLbl>
              <c:idx val="2"/>
              <c:layout>
                <c:manualLayout>
                  <c:x val="-3.1944444444444442E-2"/>
                  <c:y val="-4.0809259684842794E-2"/>
                </c:manualLayout>
              </c:layout>
              <c:tx>
                <c:rich>
                  <a:bodyPr/>
                  <a:lstStyle/>
                  <a:p>
                    <a:fld id="{50CD0AEC-84BD-4CDE-AEA0-121F6EAFBDC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C51-4C4B-AA2B-29392A4019D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3515DED-316B-48FC-86D5-FF76CC6624C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C51-4C4B-AA2B-29392A4019D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EA3BD52-5214-4AA8-B6F9-BCBF93F8912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C51-4C4B-AA2B-29392A4019D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E42D2F2-2823-4F8F-BA56-C29C1DA226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C51-4C4B-AA2B-29392A4019D8}"/>
                </c:ext>
              </c:extLst>
            </c:dLbl>
            <c:dLbl>
              <c:idx val="6"/>
              <c:layout>
                <c:manualLayout>
                  <c:x val="-6.4347331583552159E-2"/>
                  <c:y val="4.8117539026629866E-2"/>
                </c:manualLayout>
              </c:layout>
              <c:tx>
                <c:rich>
                  <a:bodyPr/>
                  <a:lstStyle/>
                  <a:p>
                    <a:fld id="{F633EEFC-C3E1-43E5-9763-D2C2DD70834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C51-4C4B-AA2B-29392A4019D8}"/>
                </c:ext>
              </c:extLst>
            </c:dLbl>
            <c:dLbl>
              <c:idx val="7"/>
              <c:layout>
                <c:manualLayout>
                  <c:x val="-4.3055555555555555E-2"/>
                  <c:y val="0.10321395775941231"/>
                </c:manualLayout>
              </c:layout>
              <c:tx>
                <c:rich>
                  <a:bodyPr/>
                  <a:lstStyle/>
                  <a:p>
                    <a:fld id="{08DF5B6B-305E-432F-9E91-37A0E3EC61A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C51-4C4B-AA2B-29392A4019D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CACC4C2-B313-4945-92F0-6E512F7735C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C51-4C4B-AA2B-29392A4019D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D1F2552-06C1-4982-820A-8A3D5AEB358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C51-4C4B-AA2B-29392A4019D8}"/>
                </c:ext>
              </c:extLst>
            </c:dLbl>
            <c:dLbl>
              <c:idx val="10"/>
              <c:layout>
                <c:manualLayout>
                  <c:x val="-4.8611111111111216E-2"/>
                  <c:y val="0.12525252525252512"/>
                </c:manualLayout>
              </c:layout>
              <c:tx>
                <c:rich>
                  <a:bodyPr/>
                  <a:lstStyle/>
                  <a:p>
                    <a:fld id="{A2BC7BFC-11AC-4648-961E-22F8C54E564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C51-4C4B-AA2B-29392A4019D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15-5C51-4C4B-AA2B-29392A4019D8}"/>
                </c:ext>
              </c:extLst>
            </c:dLbl>
            <c:dLbl>
              <c:idx val="12"/>
              <c:layout>
                <c:manualLayout>
                  <c:x val="-7.6388888888888937E-2"/>
                  <c:y val="-3.5661453383768429E-2"/>
                </c:manualLayout>
              </c:layout>
              <c:tx>
                <c:rich>
                  <a:bodyPr/>
                  <a:lstStyle/>
                  <a:p>
                    <a:fld id="{A32CC451-4E12-48B5-A197-8E8D24766B3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C51-4C4B-AA2B-29392A4019D8}"/>
                </c:ext>
              </c:extLst>
            </c:dLbl>
            <c:dLbl>
              <c:idx val="13"/>
              <c:layout>
                <c:manualLayout>
                  <c:x val="-7.6388888888888895E-2"/>
                  <c:y val="0.13627180899908173"/>
                </c:manualLayout>
              </c:layout>
              <c:tx>
                <c:rich>
                  <a:bodyPr/>
                  <a:lstStyle/>
                  <a:p>
                    <a:fld id="{15EBAD39-E0B5-40F2-8A8A-7D47F99B770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C51-4C4B-AA2B-29392A4019D8}"/>
                </c:ext>
              </c:extLst>
            </c:dLbl>
            <c:dLbl>
              <c:idx val="14"/>
              <c:layout>
                <c:manualLayout>
                  <c:x val="-3.4722222222222321E-2"/>
                  <c:y val="-4.1778209802545416E-2"/>
                </c:manualLayout>
              </c:layout>
              <c:tx>
                <c:rich>
                  <a:bodyPr/>
                  <a:lstStyle/>
                  <a:p>
                    <a:fld id="{0229CD49-573C-4533-9BDF-18E5426BA74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C51-4C4B-AA2B-29392A4019D8}"/>
                </c:ext>
              </c:extLst>
            </c:dLbl>
            <c:dLbl>
              <c:idx val="15"/>
              <c:layout>
                <c:manualLayout>
                  <c:x val="-6.25E-2"/>
                  <c:y val="0.20606060606060592"/>
                </c:manualLayout>
              </c:layout>
              <c:tx>
                <c:rich>
                  <a:bodyPr/>
                  <a:lstStyle/>
                  <a:p>
                    <a:fld id="{BFF41A95-2720-4C5A-BF3D-3D2347BD589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C51-4C4B-AA2B-29392A4019D8}"/>
                </c:ext>
              </c:extLst>
            </c:dLbl>
            <c:dLbl>
              <c:idx val="16"/>
              <c:layout>
                <c:manualLayout>
                  <c:x val="2.361111111111101E-2"/>
                  <c:y val="0.18769513314967862"/>
                </c:manualLayout>
              </c:layout>
              <c:tx>
                <c:rich>
                  <a:bodyPr/>
                  <a:lstStyle/>
                  <a:p>
                    <a:fld id="{A28532C0-7FA6-4083-9D3D-38ECC71F136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C51-4C4B-AA2B-29392A4019D8}"/>
                </c:ext>
              </c:extLst>
            </c:dLbl>
            <c:dLbl>
              <c:idx val="17"/>
              <c:layout>
                <c:manualLayout>
                  <c:x val="4.8611111111111008E-2"/>
                  <c:y val="7.7502295684113862E-2"/>
                </c:manualLayout>
              </c:layout>
              <c:tx>
                <c:rich>
                  <a:bodyPr/>
                  <a:lstStyle/>
                  <a:p>
                    <a:fld id="{3D4ADB02-39F6-4D5A-B529-863CB69927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C51-4C4B-AA2B-29392A4019D8}"/>
                </c:ext>
              </c:extLst>
            </c:dLbl>
            <c:dLbl>
              <c:idx val="18"/>
              <c:layout>
                <c:manualLayout>
                  <c:x val="2.9166666666666567E-2"/>
                  <c:y val="0.20606060606060606"/>
                </c:manualLayout>
              </c:layout>
              <c:tx>
                <c:rich>
                  <a:bodyPr/>
                  <a:lstStyle/>
                  <a:p>
                    <a:fld id="{C9FD8AA8-292C-490E-96EC-FA3B35654F6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C51-4C4B-AA2B-29392A4019D8}"/>
                </c:ext>
              </c:extLst>
            </c:dLbl>
            <c:dLbl>
              <c:idx val="19"/>
              <c:layout>
                <c:manualLayout>
                  <c:x val="-0.10416666666666671"/>
                  <c:y val="8.4862069536663191E-3"/>
                </c:manualLayout>
              </c:layout>
              <c:tx>
                <c:rich>
                  <a:bodyPr/>
                  <a:lstStyle/>
                  <a:p>
                    <a:fld id="{DE9179EF-7071-4FA3-A94D-68B27EA4A24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777777777777779E-2"/>
                      <c:h val="6.35445362718090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C51-4C4B-AA2B-29392A4019D8}"/>
                </c:ext>
              </c:extLst>
            </c:dLbl>
            <c:dLbl>
              <c:idx val="20"/>
              <c:layout>
                <c:manualLayout>
                  <c:x val="-8.750000000000005E-2"/>
                  <c:y val="-4.0036730945821858E-2"/>
                </c:manualLayout>
              </c:layout>
              <c:tx>
                <c:rich>
                  <a:bodyPr/>
                  <a:lstStyle/>
                  <a:p>
                    <a:fld id="{3E4D1BC3-41C3-4A3F-A0E5-02A063933AA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C51-4C4B-AA2B-29392A4019D8}"/>
                </c:ext>
              </c:extLst>
            </c:dLbl>
            <c:dLbl>
              <c:idx val="21"/>
              <c:layout>
                <c:manualLayout>
                  <c:x val="-5.4166666666666717E-2"/>
                  <c:y val="-3.8948223280889975E-2"/>
                </c:manualLayout>
              </c:layout>
              <c:tx>
                <c:rich>
                  <a:bodyPr/>
                  <a:lstStyle/>
                  <a:p>
                    <a:fld id="{F8642FD4-5343-48E9-B108-8F073E73815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C51-4C4B-AA2B-29392A4019D8}"/>
                </c:ext>
              </c:extLst>
            </c:dLbl>
            <c:dLbl>
              <c:idx val="22"/>
              <c:layout>
                <c:manualLayout>
                  <c:x val="-9.3055555555555558E-2"/>
                  <c:y val="0.19504132231404958"/>
                </c:manualLayout>
              </c:layout>
              <c:tx>
                <c:rich>
                  <a:bodyPr/>
                  <a:lstStyle/>
                  <a:p>
                    <a:fld id="{262DBFC6-E656-42A6-8CAB-D46B8118950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C51-4C4B-AA2B-29392A4019D8}"/>
                </c:ext>
              </c:extLst>
            </c:dLbl>
            <c:dLbl>
              <c:idx val="23"/>
              <c:layout>
                <c:manualLayout>
                  <c:x val="-9.8611111111111108E-2"/>
                  <c:y val="-4.0036730945821886E-2"/>
                </c:manualLayout>
              </c:layout>
              <c:tx>
                <c:rich>
                  <a:bodyPr/>
                  <a:lstStyle/>
                  <a:p>
                    <a:fld id="{9F8D1B8B-7D43-48ED-B357-D1AB149B869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C51-4C4B-AA2B-29392A4019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コア期間!$AX$2:$AX$25</c:f>
              <c:numCache>
                <c:formatCode>0.0_);[Red]\(0.0\)</c:formatCode>
                <c:ptCount val="24"/>
                <c:pt idx="0">
                  <c:v>4.4571428571428573</c:v>
                </c:pt>
                <c:pt idx="1">
                  <c:v>4.2857142857142856</c:v>
                </c:pt>
                <c:pt idx="2">
                  <c:v>3.7285714285714286</c:v>
                </c:pt>
                <c:pt idx="3">
                  <c:v>5.2</c:v>
                </c:pt>
                <c:pt idx="4">
                  <c:v>4.6142857142857139</c:v>
                </c:pt>
                <c:pt idx="5">
                  <c:v>3.9999999999999996</c:v>
                </c:pt>
                <c:pt idx="6">
                  <c:v>4.8999999999999995</c:v>
                </c:pt>
                <c:pt idx="7">
                  <c:v>3.342857142857143</c:v>
                </c:pt>
                <c:pt idx="8">
                  <c:v>1.9142857142857144</c:v>
                </c:pt>
                <c:pt idx="9">
                  <c:v>2.6428571428571423</c:v>
                </c:pt>
                <c:pt idx="10">
                  <c:v>4.0571428571428569</c:v>
                </c:pt>
                <c:pt idx="11">
                  <c:v>2.9714285714285715</c:v>
                </c:pt>
                <c:pt idx="12">
                  <c:v>2.9428571428571426</c:v>
                </c:pt>
                <c:pt idx="13">
                  <c:v>3.2857142857142851</c:v>
                </c:pt>
                <c:pt idx="14">
                  <c:v>2.6999999999999997</c:v>
                </c:pt>
                <c:pt idx="15">
                  <c:v>3.9142857142857146</c:v>
                </c:pt>
                <c:pt idx="16">
                  <c:v>4.3428571428571425</c:v>
                </c:pt>
                <c:pt idx="17">
                  <c:v>4.5142857142857142</c:v>
                </c:pt>
                <c:pt idx="18">
                  <c:v>4.1714285714285717</c:v>
                </c:pt>
                <c:pt idx="19">
                  <c:v>2.6285714285714286</c:v>
                </c:pt>
                <c:pt idx="20">
                  <c:v>2.4171428571428568</c:v>
                </c:pt>
                <c:pt idx="21">
                  <c:v>2.16</c:v>
                </c:pt>
                <c:pt idx="22">
                  <c:v>3.7428571428571429</c:v>
                </c:pt>
                <c:pt idx="23">
                  <c:v>3.5142857142857147</c:v>
                </c:pt>
              </c:numCache>
            </c:numRef>
          </c:xVal>
          <c:yVal>
            <c:numRef>
              <c:f>コア期間!$CG$2:$CG$25</c:f>
              <c:numCache>
                <c:formatCode>0.0_);[Red]\(0.0\)</c:formatCode>
                <c:ptCount val="24"/>
                <c:pt idx="0">
                  <c:v>39.125748502994014</c:v>
                </c:pt>
                <c:pt idx="1">
                  <c:v>37.269461077844312</c:v>
                </c:pt>
                <c:pt idx="2">
                  <c:v>45.401197604790418</c:v>
                </c:pt>
                <c:pt idx="3">
                  <c:v>48.359281437125752</c:v>
                </c:pt>
                <c:pt idx="4">
                  <c:v>48.463855421686745</c:v>
                </c:pt>
                <c:pt idx="5">
                  <c:v>42.542168674698793</c:v>
                </c:pt>
                <c:pt idx="6">
                  <c:v>44.291666666666664</c:v>
                </c:pt>
                <c:pt idx="7">
                  <c:v>35.023952095808383</c:v>
                </c:pt>
                <c:pt idx="8">
                  <c:v>26.275449101796408</c:v>
                </c:pt>
                <c:pt idx="9">
                  <c:v>30.952095808383234</c:v>
                </c:pt>
                <c:pt idx="10">
                  <c:v>36.149700598802397</c:v>
                </c:pt>
                <c:pt idx="12">
                  <c:v>42.789156626506021</c:v>
                </c:pt>
                <c:pt idx="13">
                  <c:v>33.363095238095241</c:v>
                </c:pt>
                <c:pt idx="14">
                  <c:v>36.410714285714285</c:v>
                </c:pt>
                <c:pt idx="15">
                  <c:v>37.03012048192771</c:v>
                </c:pt>
                <c:pt idx="16">
                  <c:v>41.023809523809526</c:v>
                </c:pt>
                <c:pt idx="17">
                  <c:v>41.69879518072289</c:v>
                </c:pt>
                <c:pt idx="18">
                  <c:v>35.646706586826348</c:v>
                </c:pt>
                <c:pt idx="19">
                  <c:v>35.554216867469883</c:v>
                </c:pt>
                <c:pt idx="20">
                  <c:v>37.813664596273291</c:v>
                </c:pt>
                <c:pt idx="21">
                  <c:v>48.614906832298139</c:v>
                </c:pt>
                <c:pt idx="22">
                  <c:v>33.534161490683232</c:v>
                </c:pt>
                <c:pt idx="23">
                  <c:v>44.892215568862277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コア期間!$A$2:$A$25</c15:f>
                <c15:dlblRangeCache>
                  <c:ptCount val="24"/>
                  <c:pt idx="0">
                    <c:v>土浦</c:v>
                  </c:pt>
                  <c:pt idx="1">
                    <c:v>真岡</c:v>
                  </c:pt>
                  <c:pt idx="2">
                    <c:v>前橋</c:v>
                  </c:pt>
                  <c:pt idx="3">
                    <c:v>館林</c:v>
                  </c:pt>
                  <c:pt idx="4">
                    <c:v>鴻巣</c:v>
                  </c:pt>
                  <c:pt idx="5">
                    <c:v>幸手</c:v>
                  </c:pt>
                  <c:pt idx="6">
                    <c:v>さいたま</c:v>
                  </c:pt>
                  <c:pt idx="7">
                    <c:v>市原</c:v>
                  </c:pt>
                  <c:pt idx="8">
                    <c:v>勝浦</c:v>
                  </c:pt>
                  <c:pt idx="9">
                    <c:v>富津</c:v>
                  </c:pt>
                  <c:pt idx="10">
                    <c:v>千葉</c:v>
                  </c:pt>
                  <c:pt idx="11">
                    <c:v>綾瀬</c:v>
                  </c:pt>
                  <c:pt idx="12">
                    <c:v>多摩</c:v>
                  </c:pt>
                  <c:pt idx="13">
                    <c:v>大和</c:v>
                  </c:pt>
                  <c:pt idx="14">
                    <c:v>横浜</c:v>
                  </c:pt>
                  <c:pt idx="15">
                    <c:v>川崎</c:v>
                  </c:pt>
                  <c:pt idx="16">
                    <c:v>相模原</c:v>
                  </c:pt>
                  <c:pt idx="17">
                    <c:v>甲府</c:v>
                  </c:pt>
                  <c:pt idx="18">
                    <c:v>吉田</c:v>
                  </c:pt>
                  <c:pt idx="19">
                    <c:v>長野</c:v>
                  </c:pt>
                  <c:pt idx="20">
                    <c:v>富士</c:v>
                  </c:pt>
                  <c:pt idx="21">
                    <c:v>湖西</c:v>
                  </c:pt>
                  <c:pt idx="22">
                    <c:v>静岡</c:v>
                  </c:pt>
                  <c:pt idx="23">
                    <c:v>浜松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C6C-4EA6-9D74-FB5B4AE30B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40055056"/>
        <c:axId val="440052760"/>
      </c:scatterChart>
      <c:valAx>
        <c:axId val="440055056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en-US"/>
                  <a:t>OC</a:t>
                </a:r>
                <a:r>
                  <a:rPr lang="ja-JP" altLang="en-US"/>
                  <a:t>　</a:t>
                </a:r>
                <a:r>
                  <a:rPr lang="en-US" altLang="ja-JP"/>
                  <a:t>[µg/m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40052760"/>
        <c:crosses val="autoZero"/>
        <c:crossBetween val="midCat"/>
      </c:valAx>
      <c:valAx>
        <c:axId val="440052760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en-US"/>
                  <a:t>Ox [ppb]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40055056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前橋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16.9µg/m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0126582278481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(2)'!$A$4</c:f>
              <c:strCache>
                <c:ptCount val="1"/>
                <c:pt idx="0">
                  <c:v>前橋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E18-47D2-8B60-771AA943E9C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18-47D2-8B60-771AA943E9C1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E18-47D2-8B60-771AA943E9C1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18-47D2-8B60-771AA943E9C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E18-47D2-8B60-771AA943E9C1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18-47D2-8B60-771AA943E9C1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E18-47D2-8B60-771AA943E9C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18-47D2-8B60-771AA943E9C1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E18-47D2-8B60-771AA943E9C1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18-47D2-8B60-771AA943E9C1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E18-47D2-8B60-771AA943E9C1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(2)'!$C$4:$M$4</c:f>
              <c:numCache>
                <c:formatCode>0.0_);[Red]\(0.0\)</c:formatCode>
                <c:ptCount val="11"/>
                <c:pt idx="0" formatCode="0.00_);[Red]\(0.00\)">
                  <c:v>8.0000000000000002E-3</c:v>
                </c:pt>
                <c:pt idx="1">
                  <c:v>0.15607142857142858</c:v>
                </c:pt>
                <c:pt idx="2">
                  <c:v>4.4571428571428573</c:v>
                </c:pt>
                <c:pt idx="3">
                  <c:v>2.525714285714286E-2</c:v>
                </c:pt>
                <c:pt idx="4">
                  <c:v>1.6142857142857143</c:v>
                </c:pt>
                <c:pt idx="5">
                  <c:v>6.1285714285714291E-2</c:v>
                </c:pt>
                <c:pt idx="6" formatCode="0.00_);[Red]\(0.00\)">
                  <c:v>7.4999999999999997E-3</c:v>
                </c:pt>
                <c:pt idx="7">
                  <c:v>2.8714285714285713E-2</c:v>
                </c:pt>
                <c:pt idx="8">
                  <c:v>3.7285714285714286</c:v>
                </c:pt>
                <c:pt idx="9">
                  <c:v>1.3285714285714285</c:v>
                </c:pt>
                <c:pt idx="10">
                  <c:v>5.4703142857142844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18-47D2-8B60-771AA943E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館林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23.5µg/m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70042194092827"/>
          <c:y val="0.3609995823452275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(2)'!$A$5</c:f>
              <c:strCache>
                <c:ptCount val="1"/>
                <c:pt idx="0">
                  <c:v>館林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E70-4A28-8AB1-DAEC895BE8D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70-4A28-8AB1-DAEC895BE8D0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E70-4A28-8AB1-DAEC895BE8D0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70-4A28-8AB1-DAEC895BE8D0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E70-4A28-8AB1-DAEC895BE8D0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70-4A28-8AB1-DAEC895BE8D0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E70-4A28-8AB1-DAEC895BE8D0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70-4A28-8AB1-DAEC895BE8D0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E70-4A28-8AB1-DAEC895BE8D0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70-4A28-8AB1-DAEC895BE8D0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E70-4A28-8AB1-DAEC895BE8D0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(2)'!$C$5:$M$5</c:f>
              <c:numCache>
                <c:formatCode>0.0_);[Red]\(0.0\)</c:formatCode>
                <c:ptCount val="11"/>
                <c:pt idx="0" formatCode="0.00_);[Red]\(0.00\)">
                  <c:v>8.0000000000000002E-3</c:v>
                </c:pt>
                <c:pt idx="1">
                  <c:v>0.11614285714285714</c:v>
                </c:pt>
                <c:pt idx="2">
                  <c:v>7.0428571428571427</c:v>
                </c:pt>
                <c:pt idx="3">
                  <c:v>9.0857142857142859E-2</c:v>
                </c:pt>
                <c:pt idx="4">
                  <c:v>2.4285714285714284</c:v>
                </c:pt>
                <c:pt idx="5">
                  <c:v>8.9714285714285719E-2</c:v>
                </c:pt>
                <c:pt idx="6" formatCode="0.00_);[Red]\(0.00\)">
                  <c:v>1.5357142857142859E-2</c:v>
                </c:pt>
                <c:pt idx="7">
                  <c:v>5.0999999999999997E-2</c:v>
                </c:pt>
                <c:pt idx="8">
                  <c:v>5.2</c:v>
                </c:pt>
                <c:pt idx="9">
                  <c:v>1.842857142857143</c:v>
                </c:pt>
                <c:pt idx="10">
                  <c:v>6.6432142857142864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70-4A28-8AB1-DAEC895BE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鴻巣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24.3µg/m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434599156118148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(2)'!$A$6</c:f>
              <c:strCache>
                <c:ptCount val="1"/>
                <c:pt idx="0">
                  <c:v>鴻巣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1E0-49A0-B37B-07FBCF60A31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E0-49A0-B37B-07FBCF60A310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1E0-49A0-B37B-07FBCF60A310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E0-49A0-B37B-07FBCF60A310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1E0-49A0-B37B-07FBCF60A310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E0-49A0-B37B-07FBCF60A310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1E0-49A0-B37B-07FBCF60A310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E0-49A0-B37B-07FBCF60A310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1E0-49A0-B37B-07FBCF60A310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E0-49A0-B37B-07FBCF60A310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1E0-49A0-B37B-07FBCF60A310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(2)'!$C$6:$M$6</c:f>
              <c:numCache>
                <c:formatCode>0.0_);[Red]\(0.0\)</c:formatCode>
                <c:ptCount val="11"/>
                <c:pt idx="0" formatCode="0.00_);[Red]\(0.00\)">
                  <c:v>2.2999999999999996E-2</c:v>
                </c:pt>
                <c:pt idx="1">
                  <c:v>0.2382857142857143</c:v>
                </c:pt>
                <c:pt idx="2">
                  <c:v>9.3142857142857149</c:v>
                </c:pt>
                <c:pt idx="3">
                  <c:v>9.6428571428571419E-2</c:v>
                </c:pt>
                <c:pt idx="4">
                  <c:v>3.4428571428571431</c:v>
                </c:pt>
                <c:pt idx="5">
                  <c:v>0.17142857142857143</c:v>
                </c:pt>
                <c:pt idx="6" formatCode="0.00_);[Red]\(0.00\)">
                  <c:v>9.9285714285714272E-3</c:v>
                </c:pt>
                <c:pt idx="7">
                  <c:v>1.4700000000000001E-2</c:v>
                </c:pt>
                <c:pt idx="8">
                  <c:v>4.6142857142857139</c:v>
                </c:pt>
                <c:pt idx="9">
                  <c:v>1.5857142857142856</c:v>
                </c:pt>
                <c:pt idx="10">
                  <c:v>4.7748000000000026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E0-49A0-B37B-07FBCF60A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幸手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24.0µg/m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278481012658228"/>
          <c:y val="0.3564815111276180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(2)'!$A$7</c:f>
              <c:strCache>
                <c:ptCount val="1"/>
                <c:pt idx="0">
                  <c:v>幸手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059-4D2F-A864-EDB8A0B5497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9-4D2F-A864-EDB8A0B54971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059-4D2F-A864-EDB8A0B54971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9-4D2F-A864-EDB8A0B5497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059-4D2F-A864-EDB8A0B54971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59-4D2F-A864-EDB8A0B54971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059-4D2F-A864-EDB8A0B5497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9-4D2F-A864-EDB8A0B54971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059-4D2F-A864-EDB8A0B54971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59-4D2F-A864-EDB8A0B54971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059-4D2F-A864-EDB8A0B54971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(2)'!$C$7:$M$7</c:f>
              <c:numCache>
                <c:formatCode>0.0_);[Red]\(0.0\)</c:formatCode>
                <c:ptCount val="11"/>
                <c:pt idx="0" formatCode="0.00_);[Red]\(0.00\)">
                  <c:v>2.2999999999999996E-2</c:v>
                </c:pt>
                <c:pt idx="1">
                  <c:v>0.193</c:v>
                </c:pt>
                <c:pt idx="2">
                  <c:v>9.2428571428571438</c:v>
                </c:pt>
                <c:pt idx="3">
                  <c:v>0.11099999999999999</c:v>
                </c:pt>
                <c:pt idx="4">
                  <c:v>3.4142857142857141</c:v>
                </c:pt>
                <c:pt idx="5">
                  <c:v>0.18557142857142858</c:v>
                </c:pt>
                <c:pt idx="6" formatCode="0.00_);[Red]\(0.00\)">
                  <c:v>9.7428571428571416E-3</c:v>
                </c:pt>
                <c:pt idx="7">
                  <c:v>1.7714285714285717E-2</c:v>
                </c:pt>
                <c:pt idx="8">
                  <c:v>3.9999999999999996</c:v>
                </c:pt>
                <c:pt idx="9">
                  <c:v>1.657142857142857</c:v>
                </c:pt>
                <c:pt idx="10">
                  <c:v>5.1456857142857118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59-4D2F-A864-EDB8A0B54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さいたま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25.5µg/m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1856540084388185"/>
          <c:y val="0.3564816379472580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(2)'!$A$8</c:f>
              <c:strCache>
                <c:ptCount val="1"/>
                <c:pt idx="0">
                  <c:v>さいたま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FA4-4B76-98A4-5E48C2AF728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A4-4B76-98A4-5E48C2AF7281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FA4-4B76-98A4-5E48C2AF7281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A4-4B76-98A4-5E48C2AF728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FA4-4B76-98A4-5E48C2AF7281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A4-4B76-98A4-5E48C2AF7281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FA4-4B76-98A4-5E48C2AF728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FA4-4B76-98A4-5E48C2AF7281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FA4-4B76-98A4-5E48C2AF7281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FA4-4B76-98A4-5E48C2AF7281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FA4-4B76-98A4-5E48C2AF7281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(2)'!$C$8:$M$8</c:f>
              <c:numCache>
                <c:formatCode>0.0_);[Red]\(0.0\)</c:formatCode>
                <c:ptCount val="11"/>
                <c:pt idx="0" formatCode="0.00_);[Red]\(0.00\)">
                  <c:v>2.1899999999999996E-2</c:v>
                </c:pt>
                <c:pt idx="1">
                  <c:v>0.35285714285714287</c:v>
                </c:pt>
                <c:pt idx="2">
                  <c:v>8.6571428571428566</c:v>
                </c:pt>
                <c:pt idx="3">
                  <c:v>0.13057142857142856</c:v>
                </c:pt>
                <c:pt idx="4">
                  <c:v>3.0714285714285707</c:v>
                </c:pt>
                <c:pt idx="5">
                  <c:v>0.16300000000000001</c:v>
                </c:pt>
                <c:pt idx="6" formatCode="0.00_);[Red]\(0.00\)">
                  <c:v>2.2999999999999996E-2</c:v>
                </c:pt>
                <c:pt idx="7">
                  <c:v>0.10771428571428572</c:v>
                </c:pt>
                <c:pt idx="8">
                  <c:v>4.8999999999999995</c:v>
                </c:pt>
                <c:pt idx="9">
                  <c:v>1.5999999999999999</c:v>
                </c:pt>
                <c:pt idx="10">
                  <c:v>6.5009571428571462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A4-4B76-98A4-5E48C2AF7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市原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26.2µg/m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278481012658228"/>
          <c:y val="0.3564816379472580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(2)'!$A$9</c:f>
              <c:strCache>
                <c:ptCount val="1"/>
                <c:pt idx="0">
                  <c:v>市原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11E-42B6-BBA1-6BE779BA9CE7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E-42B6-BBA1-6BE779BA9CE7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11E-42B6-BBA1-6BE779BA9CE7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1E-42B6-BBA1-6BE779BA9CE7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11E-42B6-BBA1-6BE779BA9CE7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1E-42B6-BBA1-6BE779BA9CE7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11E-42B6-BBA1-6BE779BA9CE7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1E-42B6-BBA1-6BE779BA9CE7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11E-42B6-BBA1-6BE779BA9CE7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1E-42B6-BBA1-6BE779BA9CE7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11E-42B6-BBA1-6BE779BA9CE7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(2)'!$C$9:$M$9</c:f>
              <c:numCache>
                <c:formatCode>0.0_);[Red]\(0.0\)</c:formatCode>
                <c:ptCount val="11"/>
                <c:pt idx="0" formatCode="0.00_);[Red]\(0.00\)">
                  <c:v>4.7999999999999994E-2</c:v>
                </c:pt>
                <c:pt idx="1">
                  <c:v>6.3857142857142848E-2</c:v>
                </c:pt>
                <c:pt idx="2">
                  <c:v>10.714285714285714</c:v>
                </c:pt>
                <c:pt idx="3">
                  <c:v>0.14514285714285716</c:v>
                </c:pt>
                <c:pt idx="4">
                  <c:v>3.8571428571428572</c:v>
                </c:pt>
                <c:pt idx="5">
                  <c:v>0.12071428571428573</c:v>
                </c:pt>
                <c:pt idx="6" formatCode="0.00_);[Red]\(0.00\)">
                  <c:v>1.8142857142857145E-2</c:v>
                </c:pt>
                <c:pt idx="7">
                  <c:v>0.10414285714285712</c:v>
                </c:pt>
                <c:pt idx="8">
                  <c:v>3.342857142857143</c:v>
                </c:pt>
                <c:pt idx="9">
                  <c:v>1.5285714285714287</c:v>
                </c:pt>
                <c:pt idx="10">
                  <c:v>6.2857142857142883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1E-42B6-BBA1-6BE779BA9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勝浦</a:t>
            </a:r>
            <a:endParaRPr lang="en-US" sz="2000"/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000"/>
              <a:t>19.0µg/m</a:t>
            </a:r>
            <a:r>
              <a:rPr lang="en-US" sz="2000" baseline="30000"/>
              <a:t>3</a:t>
            </a:r>
            <a:endParaRPr lang="ja-JP" sz="2000" baseline="30000"/>
          </a:p>
        </c:rich>
      </c:tx>
      <c:layout>
        <c:manualLayout>
          <c:xMode val="edge"/>
          <c:yMode val="edge"/>
          <c:x val="0.3270042194092827"/>
          <c:y val="0.3564816379472580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64404133027682E-2"/>
          <c:y val="1.0299650043744533E-2"/>
          <c:w val="0.87668892654241004"/>
          <c:h val="0.96192257217847765"/>
        </c:manualLayout>
      </c:layout>
      <c:doughnutChart>
        <c:varyColors val="1"/>
        <c:ser>
          <c:idx val="0"/>
          <c:order val="0"/>
          <c:tx>
            <c:strRef>
              <c:f>'コア期間 (2)'!$A$10</c:f>
              <c:strCache>
                <c:ptCount val="1"/>
                <c:pt idx="0">
                  <c:v>勝浦</c:v>
                </c:pt>
              </c:strCache>
            </c:strRef>
          </c:tx>
          <c:dPt>
            <c:idx val="0"/>
            <c:bubble3D val="0"/>
            <c:spPr>
              <a:solidFill>
                <a:srgbClr val="FF99C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531-4B52-8000-7D8B3F395666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31-4B52-8000-7D8B3F395666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31-4B52-8000-7D8B3F39566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31-4B52-8000-7D8B3F39566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531-4B52-8000-7D8B3F395666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31-4B52-8000-7D8B3F395666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531-4B52-8000-7D8B3F395666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31-4B52-8000-7D8B3F395666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531-4B52-8000-7D8B3F395666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31-4B52-8000-7D8B3F395666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531-4B52-8000-7D8B3F395666}"/>
              </c:ext>
            </c:extLst>
          </c:dPt>
          <c:cat>
            <c:strRef>
              <c:f>'コア期間 (2)'!$C$1:$M$1</c:f>
              <c:strCache>
                <c:ptCount val="11"/>
                <c:pt idx="0">
                  <c:v>Cl-</c:v>
                </c:pt>
                <c:pt idx="1">
                  <c:v>NO3-</c:v>
                </c:pt>
                <c:pt idx="2">
                  <c:v>SO42-</c:v>
                </c:pt>
                <c:pt idx="3">
                  <c:v>Na+</c:v>
                </c:pt>
                <c:pt idx="4">
                  <c:v>NH4+</c:v>
                </c:pt>
                <c:pt idx="5">
                  <c:v>K+</c:v>
                </c:pt>
                <c:pt idx="6">
                  <c:v>Mg2+</c:v>
                </c:pt>
                <c:pt idx="7">
                  <c:v>Ca2+</c:v>
                </c:pt>
                <c:pt idx="8">
                  <c:v>OC</c:v>
                </c:pt>
                <c:pt idx="9">
                  <c:v>EC</c:v>
                </c:pt>
                <c:pt idx="10">
                  <c:v>others</c:v>
                </c:pt>
              </c:strCache>
            </c:strRef>
          </c:cat>
          <c:val>
            <c:numRef>
              <c:f>'コア期間 (2)'!$C$10:$M$10</c:f>
              <c:numCache>
                <c:formatCode>0.0_);[Red]\(0.0\)</c:formatCode>
                <c:ptCount val="11"/>
                <c:pt idx="0" formatCode="0.00_);[Red]\(0.00\)">
                  <c:v>4.7999999999999994E-2</c:v>
                </c:pt>
                <c:pt idx="1">
                  <c:v>4.9499999999999995E-2</c:v>
                </c:pt>
                <c:pt idx="2">
                  <c:v>8.7285714285714295</c:v>
                </c:pt>
                <c:pt idx="3">
                  <c:v>0.11085714285714286</c:v>
                </c:pt>
                <c:pt idx="4">
                  <c:v>2.9428571428571426</c:v>
                </c:pt>
                <c:pt idx="5">
                  <c:v>6.9857142857142854E-2</c:v>
                </c:pt>
                <c:pt idx="6" formatCode="0.00_);[Red]\(0.00\)">
                  <c:v>9.5142857142857147E-3</c:v>
                </c:pt>
                <c:pt idx="7">
                  <c:v>2.1999999999999995E-2</c:v>
                </c:pt>
                <c:pt idx="8">
                  <c:v>1.9142857142857144</c:v>
                </c:pt>
                <c:pt idx="9">
                  <c:v>0.63714285714285712</c:v>
                </c:pt>
                <c:pt idx="10">
                  <c:v>4.4816999999999965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31-4B52-8000-7D8B3F395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14817</xdr:colOff>
      <xdr:row>26</xdr:row>
      <xdr:rowOff>19050</xdr:rowOff>
    </xdr:from>
    <xdr:to>
      <xdr:col>6</xdr:col>
      <xdr:colOff>586317</xdr:colOff>
      <xdr:row>42</xdr:row>
      <xdr:rowOff>120650</xdr:rowOff>
    </xdr:to>
    <xdr:graphicFrame macro="">
      <xdr:nvGraphicFramePr>
        <xdr:cNvPr id="62825" name="グラフ 3">
          <a:extLst>
            <a:ext uri="{FF2B5EF4-FFF2-40B4-BE49-F238E27FC236}">
              <a16:creationId xmlns:a16="http://schemas.microsoft.com/office/drawing/2014/main" id="{8E220C96-7C64-4034-AAB2-3247E53A2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26</xdr:row>
      <xdr:rowOff>19050</xdr:rowOff>
    </xdr:from>
    <xdr:to>
      <xdr:col>11</xdr:col>
      <xdr:colOff>596900</xdr:colOff>
      <xdr:row>42</xdr:row>
      <xdr:rowOff>120650</xdr:rowOff>
    </xdr:to>
    <xdr:graphicFrame macro="">
      <xdr:nvGraphicFramePr>
        <xdr:cNvPr id="62826" name="グラフ 4">
          <a:extLst>
            <a:ext uri="{FF2B5EF4-FFF2-40B4-BE49-F238E27FC236}">
              <a16:creationId xmlns:a16="http://schemas.microsoft.com/office/drawing/2014/main" id="{0F72BA97-805C-4674-921C-2C498825C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6350</xdr:colOff>
      <xdr:row>26</xdr:row>
      <xdr:rowOff>31750</xdr:rowOff>
    </xdr:from>
    <xdr:to>
      <xdr:col>16</xdr:col>
      <xdr:colOff>577850</xdr:colOff>
      <xdr:row>42</xdr:row>
      <xdr:rowOff>133350</xdr:rowOff>
    </xdr:to>
    <xdr:graphicFrame macro="">
      <xdr:nvGraphicFramePr>
        <xdr:cNvPr id="62827" name="グラフ 5">
          <a:extLst>
            <a:ext uri="{FF2B5EF4-FFF2-40B4-BE49-F238E27FC236}">
              <a16:creationId xmlns:a16="http://schemas.microsoft.com/office/drawing/2014/main" id="{E14E0B5D-F3D0-4415-8E67-77EA70B55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6350</xdr:colOff>
      <xdr:row>26</xdr:row>
      <xdr:rowOff>19050</xdr:rowOff>
    </xdr:from>
    <xdr:to>
      <xdr:col>21</xdr:col>
      <xdr:colOff>577850</xdr:colOff>
      <xdr:row>42</xdr:row>
      <xdr:rowOff>120650</xdr:rowOff>
    </xdr:to>
    <xdr:graphicFrame macro="">
      <xdr:nvGraphicFramePr>
        <xdr:cNvPr id="62828" name="グラフ 6">
          <a:extLst>
            <a:ext uri="{FF2B5EF4-FFF2-40B4-BE49-F238E27FC236}">
              <a16:creationId xmlns:a16="http://schemas.microsoft.com/office/drawing/2014/main" id="{24E74ABB-FCFD-4040-977F-795F9318F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6350</xdr:colOff>
      <xdr:row>26</xdr:row>
      <xdr:rowOff>19050</xdr:rowOff>
    </xdr:from>
    <xdr:to>
      <xdr:col>26</xdr:col>
      <xdr:colOff>577850</xdr:colOff>
      <xdr:row>42</xdr:row>
      <xdr:rowOff>120650</xdr:rowOff>
    </xdr:to>
    <xdr:graphicFrame macro="">
      <xdr:nvGraphicFramePr>
        <xdr:cNvPr id="62829" name="グラフ 7">
          <a:extLst>
            <a:ext uri="{FF2B5EF4-FFF2-40B4-BE49-F238E27FC236}">
              <a16:creationId xmlns:a16="http://schemas.microsoft.com/office/drawing/2014/main" id="{ACDFEDE9-10DE-4D73-A2F6-93CC9DFBA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19050</xdr:colOff>
      <xdr:row>26</xdr:row>
      <xdr:rowOff>6350</xdr:rowOff>
    </xdr:from>
    <xdr:to>
      <xdr:col>31</xdr:col>
      <xdr:colOff>590550</xdr:colOff>
      <xdr:row>42</xdr:row>
      <xdr:rowOff>107950</xdr:rowOff>
    </xdr:to>
    <xdr:graphicFrame macro="">
      <xdr:nvGraphicFramePr>
        <xdr:cNvPr id="62830" name="グラフ 8">
          <a:extLst>
            <a:ext uri="{FF2B5EF4-FFF2-40B4-BE49-F238E27FC236}">
              <a16:creationId xmlns:a16="http://schemas.microsoft.com/office/drawing/2014/main" id="{58045940-A8B6-46D0-B735-36139A468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6</xdr:col>
      <xdr:colOff>571500</xdr:colOff>
      <xdr:row>59</xdr:row>
      <xdr:rowOff>101600</xdr:rowOff>
    </xdr:to>
    <xdr:graphicFrame macro="">
      <xdr:nvGraphicFramePr>
        <xdr:cNvPr id="62831" name="グラフ 10">
          <a:extLst>
            <a:ext uri="{FF2B5EF4-FFF2-40B4-BE49-F238E27FC236}">
              <a16:creationId xmlns:a16="http://schemas.microsoft.com/office/drawing/2014/main" id="{1A56717A-1774-465B-9FA3-15F7AB0B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11</xdr:col>
      <xdr:colOff>571500</xdr:colOff>
      <xdr:row>59</xdr:row>
      <xdr:rowOff>101600</xdr:rowOff>
    </xdr:to>
    <xdr:graphicFrame macro="">
      <xdr:nvGraphicFramePr>
        <xdr:cNvPr id="62832" name="グラフ 11">
          <a:extLst>
            <a:ext uri="{FF2B5EF4-FFF2-40B4-BE49-F238E27FC236}">
              <a16:creationId xmlns:a16="http://schemas.microsoft.com/office/drawing/2014/main" id="{4FED796B-2E6E-4028-8108-F587E2852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43</xdr:row>
      <xdr:rowOff>0</xdr:rowOff>
    </xdr:from>
    <xdr:to>
      <xdr:col>16</xdr:col>
      <xdr:colOff>571500</xdr:colOff>
      <xdr:row>59</xdr:row>
      <xdr:rowOff>101600</xdr:rowOff>
    </xdr:to>
    <xdr:graphicFrame macro="">
      <xdr:nvGraphicFramePr>
        <xdr:cNvPr id="62833" name="グラフ 12">
          <a:extLst>
            <a:ext uri="{FF2B5EF4-FFF2-40B4-BE49-F238E27FC236}">
              <a16:creationId xmlns:a16="http://schemas.microsoft.com/office/drawing/2014/main" id="{6A7A32CB-F19A-4B8D-AFA3-875E557A4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43</xdr:row>
      <xdr:rowOff>0</xdr:rowOff>
    </xdr:from>
    <xdr:to>
      <xdr:col>21</xdr:col>
      <xdr:colOff>571500</xdr:colOff>
      <xdr:row>59</xdr:row>
      <xdr:rowOff>101600</xdr:rowOff>
    </xdr:to>
    <xdr:graphicFrame macro="">
      <xdr:nvGraphicFramePr>
        <xdr:cNvPr id="62834" name="グラフ 13">
          <a:extLst>
            <a:ext uri="{FF2B5EF4-FFF2-40B4-BE49-F238E27FC236}">
              <a16:creationId xmlns:a16="http://schemas.microsoft.com/office/drawing/2014/main" id="{E722F2C3-FB69-49B4-B155-EC21A7DE2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43</xdr:row>
      <xdr:rowOff>0</xdr:rowOff>
    </xdr:from>
    <xdr:to>
      <xdr:col>26</xdr:col>
      <xdr:colOff>571500</xdr:colOff>
      <xdr:row>59</xdr:row>
      <xdr:rowOff>101600</xdr:rowOff>
    </xdr:to>
    <xdr:graphicFrame macro="">
      <xdr:nvGraphicFramePr>
        <xdr:cNvPr id="62835" name="グラフ 14">
          <a:extLst>
            <a:ext uri="{FF2B5EF4-FFF2-40B4-BE49-F238E27FC236}">
              <a16:creationId xmlns:a16="http://schemas.microsoft.com/office/drawing/2014/main" id="{7A6C1251-B87F-4D44-99C4-899949AFA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0</xdr:colOff>
      <xdr:row>43</xdr:row>
      <xdr:rowOff>0</xdr:rowOff>
    </xdr:from>
    <xdr:to>
      <xdr:col>31</xdr:col>
      <xdr:colOff>571500</xdr:colOff>
      <xdr:row>59</xdr:row>
      <xdr:rowOff>101600</xdr:rowOff>
    </xdr:to>
    <xdr:graphicFrame macro="">
      <xdr:nvGraphicFramePr>
        <xdr:cNvPr id="62836" name="グラフ 15">
          <a:extLst>
            <a:ext uri="{FF2B5EF4-FFF2-40B4-BE49-F238E27FC236}">
              <a16:creationId xmlns:a16="http://schemas.microsoft.com/office/drawing/2014/main" id="{A6E7A7F1-094A-4F88-A27E-A6D4C34AE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6</xdr:col>
      <xdr:colOff>571500</xdr:colOff>
      <xdr:row>76</xdr:row>
      <xdr:rowOff>101600</xdr:rowOff>
    </xdr:to>
    <xdr:graphicFrame macro="">
      <xdr:nvGraphicFramePr>
        <xdr:cNvPr id="62837" name="グラフ 16">
          <a:extLst>
            <a:ext uri="{FF2B5EF4-FFF2-40B4-BE49-F238E27FC236}">
              <a16:creationId xmlns:a16="http://schemas.microsoft.com/office/drawing/2014/main" id="{8B884CB7-28EC-47BD-8D65-8D5D319DA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11</xdr:col>
      <xdr:colOff>571500</xdr:colOff>
      <xdr:row>76</xdr:row>
      <xdr:rowOff>101600</xdr:rowOff>
    </xdr:to>
    <xdr:graphicFrame macro="">
      <xdr:nvGraphicFramePr>
        <xdr:cNvPr id="62838" name="グラフ 17">
          <a:extLst>
            <a:ext uri="{FF2B5EF4-FFF2-40B4-BE49-F238E27FC236}">
              <a16:creationId xmlns:a16="http://schemas.microsoft.com/office/drawing/2014/main" id="{6BCC28EE-7782-48CC-B066-3E9627C97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60</xdr:row>
      <xdr:rowOff>0</xdr:rowOff>
    </xdr:from>
    <xdr:to>
      <xdr:col>16</xdr:col>
      <xdr:colOff>571500</xdr:colOff>
      <xdr:row>76</xdr:row>
      <xdr:rowOff>101600</xdr:rowOff>
    </xdr:to>
    <xdr:graphicFrame macro="">
      <xdr:nvGraphicFramePr>
        <xdr:cNvPr id="62839" name="グラフ 18">
          <a:extLst>
            <a:ext uri="{FF2B5EF4-FFF2-40B4-BE49-F238E27FC236}">
              <a16:creationId xmlns:a16="http://schemas.microsoft.com/office/drawing/2014/main" id="{DAE24157-CFB1-44E4-9B65-632DD0A2B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60</xdr:row>
      <xdr:rowOff>0</xdr:rowOff>
    </xdr:from>
    <xdr:to>
      <xdr:col>21</xdr:col>
      <xdr:colOff>571500</xdr:colOff>
      <xdr:row>76</xdr:row>
      <xdr:rowOff>101600</xdr:rowOff>
    </xdr:to>
    <xdr:graphicFrame macro="">
      <xdr:nvGraphicFramePr>
        <xdr:cNvPr id="62840" name="グラフ 19">
          <a:extLst>
            <a:ext uri="{FF2B5EF4-FFF2-40B4-BE49-F238E27FC236}">
              <a16:creationId xmlns:a16="http://schemas.microsoft.com/office/drawing/2014/main" id="{BD6A6894-77F5-4448-9A61-AA1F8C0CF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60</xdr:row>
      <xdr:rowOff>0</xdr:rowOff>
    </xdr:from>
    <xdr:to>
      <xdr:col>26</xdr:col>
      <xdr:colOff>571500</xdr:colOff>
      <xdr:row>76</xdr:row>
      <xdr:rowOff>101600</xdr:rowOff>
    </xdr:to>
    <xdr:graphicFrame macro="">
      <xdr:nvGraphicFramePr>
        <xdr:cNvPr id="62841" name="グラフ 20">
          <a:extLst>
            <a:ext uri="{FF2B5EF4-FFF2-40B4-BE49-F238E27FC236}">
              <a16:creationId xmlns:a16="http://schemas.microsoft.com/office/drawing/2014/main" id="{7CF70376-54C7-4CC3-9F39-9127F700F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0</xdr:colOff>
      <xdr:row>60</xdr:row>
      <xdr:rowOff>0</xdr:rowOff>
    </xdr:from>
    <xdr:to>
      <xdr:col>31</xdr:col>
      <xdr:colOff>571500</xdr:colOff>
      <xdr:row>76</xdr:row>
      <xdr:rowOff>101600</xdr:rowOff>
    </xdr:to>
    <xdr:graphicFrame macro="">
      <xdr:nvGraphicFramePr>
        <xdr:cNvPr id="62842" name="グラフ 21">
          <a:extLst>
            <a:ext uri="{FF2B5EF4-FFF2-40B4-BE49-F238E27FC236}">
              <a16:creationId xmlns:a16="http://schemas.microsoft.com/office/drawing/2014/main" id="{DFDF6233-855A-4CB5-98CE-1E15BC0BA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6</xdr:col>
      <xdr:colOff>571500</xdr:colOff>
      <xdr:row>93</xdr:row>
      <xdr:rowOff>101600</xdr:rowOff>
    </xdr:to>
    <xdr:graphicFrame macro="">
      <xdr:nvGraphicFramePr>
        <xdr:cNvPr id="62843" name="グラフ 22">
          <a:extLst>
            <a:ext uri="{FF2B5EF4-FFF2-40B4-BE49-F238E27FC236}">
              <a16:creationId xmlns:a16="http://schemas.microsoft.com/office/drawing/2014/main" id="{975DC3DA-5FC8-4E4D-B74A-F87C9DA92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77</xdr:row>
      <xdr:rowOff>0</xdr:rowOff>
    </xdr:from>
    <xdr:to>
      <xdr:col>11</xdr:col>
      <xdr:colOff>571500</xdr:colOff>
      <xdr:row>93</xdr:row>
      <xdr:rowOff>101600</xdr:rowOff>
    </xdr:to>
    <xdr:graphicFrame macro="">
      <xdr:nvGraphicFramePr>
        <xdr:cNvPr id="62844" name="グラフ 23">
          <a:extLst>
            <a:ext uri="{FF2B5EF4-FFF2-40B4-BE49-F238E27FC236}">
              <a16:creationId xmlns:a16="http://schemas.microsoft.com/office/drawing/2014/main" id="{093FDFDF-709D-4080-B566-1710644FC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77</xdr:row>
      <xdr:rowOff>0</xdr:rowOff>
    </xdr:from>
    <xdr:to>
      <xdr:col>16</xdr:col>
      <xdr:colOff>571500</xdr:colOff>
      <xdr:row>93</xdr:row>
      <xdr:rowOff>101600</xdr:rowOff>
    </xdr:to>
    <xdr:graphicFrame macro="">
      <xdr:nvGraphicFramePr>
        <xdr:cNvPr id="62845" name="グラフ 24">
          <a:extLst>
            <a:ext uri="{FF2B5EF4-FFF2-40B4-BE49-F238E27FC236}">
              <a16:creationId xmlns:a16="http://schemas.microsoft.com/office/drawing/2014/main" id="{A0F3FD7E-DBD0-452F-AC41-0555F0468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0</xdr:colOff>
      <xdr:row>77</xdr:row>
      <xdr:rowOff>0</xdr:rowOff>
    </xdr:from>
    <xdr:to>
      <xdr:col>21</xdr:col>
      <xdr:colOff>571500</xdr:colOff>
      <xdr:row>93</xdr:row>
      <xdr:rowOff>101600</xdr:rowOff>
    </xdr:to>
    <xdr:graphicFrame macro="">
      <xdr:nvGraphicFramePr>
        <xdr:cNvPr id="62846" name="グラフ 25">
          <a:extLst>
            <a:ext uri="{FF2B5EF4-FFF2-40B4-BE49-F238E27FC236}">
              <a16:creationId xmlns:a16="http://schemas.microsoft.com/office/drawing/2014/main" id="{C5A2410D-7954-4204-A181-F27F4977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26</xdr:col>
      <xdr:colOff>571500</xdr:colOff>
      <xdr:row>93</xdr:row>
      <xdr:rowOff>101600</xdr:rowOff>
    </xdr:to>
    <xdr:graphicFrame macro="">
      <xdr:nvGraphicFramePr>
        <xdr:cNvPr id="62847" name="グラフ 26">
          <a:extLst>
            <a:ext uri="{FF2B5EF4-FFF2-40B4-BE49-F238E27FC236}">
              <a16:creationId xmlns:a16="http://schemas.microsoft.com/office/drawing/2014/main" id="{72B131C1-5317-40DA-818C-31DB63547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</xdr:col>
      <xdr:colOff>0</xdr:colOff>
      <xdr:row>77</xdr:row>
      <xdr:rowOff>0</xdr:rowOff>
    </xdr:from>
    <xdr:to>
      <xdr:col>31</xdr:col>
      <xdr:colOff>571500</xdr:colOff>
      <xdr:row>93</xdr:row>
      <xdr:rowOff>101600</xdr:rowOff>
    </xdr:to>
    <xdr:graphicFrame macro="">
      <xdr:nvGraphicFramePr>
        <xdr:cNvPr id="62848" name="グラフ 27">
          <a:extLst>
            <a:ext uri="{FF2B5EF4-FFF2-40B4-BE49-F238E27FC236}">
              <a16:creationId xmlns:a16="http://schemas.microsoft.com/office/drawing/2014/main" id="{79B2A5FA-5457-46F0-A538-78D2DFE87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571500</xdr:colOff>
      <xdr:row>19</xdr:row>
      <xdr:rowOff>101600</xdr:rowOff>
    </xdr:to>
    <xdr:graphicFrame macro="">
      <xdr:nvGraphicFramePr>
        <xdr:cNvPr id="62849" name="グラフ 28">
          <a:extLst>
            <a:ext uri="{FF2B5EF4-FFF2-40B4-BE49-F238E27FC236}">
              <a16:creationId xmlns:a16="http://schemas.microsoft.com/office/drawing/2014/main" id="{9AD103A8-C5C8-4665-B657-B5C4AAB2D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44450</xdr:colOff>
      <xdr:row>26</xdr:row>
      <xdr:rowOff>0</xdr:rowOff>
    </xdr:from>
    <xdr:to>
      <xdr:col>74</xdr:col>
      <xdr:colOff>349250</xdr:colOff>
      <xdr:row>48</xdr:row>
      <xdr:rowOff>152400</xdr:rowOff>
    </xdr:to>
    <xdr:graphicFrame macro="">
      <xdr:nvGraphicFramePr>
        <xdr:cNvPr id="9379" name="グラフ 1">
          <a:extLst>
            <a:ext uri="{FF2B5EF4-FFF2-40B4-BE49-F238E27FC236}">
              <a16:creationId xmlns:a16="http://schemas.microsoft.com/office/drawing/2014/main" id="{F4C6DA46-D19B-4CEC-A9E4-ED26140BE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0</xdr:colOff>
      <xdr:row>50</xdr:row>
      <xdr:rowOff>0</xdr:rowOff>
    </xdr:from>
    <xdr:to>
      <xdr:col>74</xdr:col>
      <xdr:colOff>304800</xdr:colOff>
      <xdr:row>72</xdr:row>
      <xdr:rowOff>152400</xdr:rowOff>
    </xdr:to>
    <xdr:graphicFrame macro="">
      <xdr:nvGraphicFramePr>
        <xdr:cNvPr id="9380" name="グラフ 2">
          <a:extLst>
            <a:ext uri="{FF2B5EF4-FFF2-40B4-BE49-F238E27FC236}">
              <a16:creationId xmlns:a16="http://schemas.microsoft.com/office/drawing/2014/main" id="{5510FEE5-E895-4B9F-9C5A-FB8EE6D53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85</xdr:col>
      <xdr:colOff>38100</xdr:colOff>
      <xdr:row>1</xdr:row>
      <xdr:rowOff>47624</xdr:rowOff>
    </xdr:from>
    <xdr:to>
      <xdr:col>92</xdr:col>
      <xdr:colOff>342900</xdr:colOff>
      <xdr:row>24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B28C27F-BEC4-445F-9AAD-75D68B19E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0.64444</cdr:x>
      <cdr:y>0.46156</cdr:y>
    </cdr:from>
    <cdr:to>
      <cdr:x>0.77222</cdr:x>
      <cdr:y>0.52482</cdr:y>
    </cdr:to>
    <cdr:sp macro="" textlink="">
      <cdr:nvSpPr>
        <cdr:cNvPr id="2" name="吹き出し: 四角形 1">
          <a:extLst xmlns:a="http://schemas.openxmlformats.org/drawingml/2006/main">
            <a:ext uri="{FF2B5EF4-FFF2-40B4-BE49-F238E27FC236}">
              <a16:creationId xmlns:a16="http://schemas.microsoft.com/office/drawing/2014/main" id="{182EF982-3FC1-4944-9E1D-17E03F24FDEB}"/>
            </a:ext>
          </a:extLst>
        </cdr:cNvPr>
        <cdr:cNvSpPr/>
      </cdr:nvSpPr>
      <cdr:spPr>
        <a:xfrm xmlns:a="http://schemas.openxmlformats.org/drawingml/2006/main">
          <a:off x="2946400" y="1746817"/>
          <a:ext cx="584210" cy="239415"/>
        </a:xfrm>
        <a:prstGeom xmlns:a="http://schemas.openxmlformats.org/drawingml/2006/main" prst="wedgeRectCallout">
          <a:avLst>
            <a:gd name="adj1" fmla="val 78854"/>
            <a:gd name="adj2" fmla="val -245602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富士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8/2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0.7875</cdr:x>
      <cdr:y>0.46141</cdr:y>
    </cdr:from>
    <cdr:to>
      <cdr:x>0.91528</cdr:x>
      <cdr:y>0.52467</cdr:y>
    </cdr:to>
    <cdr:sp macro="" textlink="">
      <cdr:nvSpPr>
        <cdr:cNvPr id="4" name="吹き出し: 四角形 3">
          <a:extLst xmlns:a="http://schemas.openxmlformats.org/drawingml/2006/main">
            <a:ext uri="{FF2B5EF4-FFF2-40B4-BE49-F238E27FC236}">
              <a16:creationId xmlns:a16="http://schemas.microsoft.com/office/drawing/2014/main" id="{630BEB79-C905-4428-803E-2AB4E3AD2AF5}"/>
            </a:ext>
          </a:extLst>
        </cdr:cNvPr>
        <cdr:cNvSpPr/>
      </cdr:nvSpPr>
      <cdr:spPr>
        <a:xfrm xmlns:a="http://schemas.openxmlformats.org/drawingml/2006/main">
          <a:off x="3600450" y="1746250"/>
          <a:ext cx="584210" cy="239415"/>
        </a:xfrm>
        <a:prstGeom xmlns:a="http://schemas.openxmlformats.org/drawingml/2006/main" prst="wedgeRectCallout">
          <a:avLst>
            <a:gd name="adj1" fmla="val -15710"/>
            <a:gd name="adj2" fmla="val -245601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湖西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8/1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0.80556</cdr:x>
      <cdr:y>0.38255</cdr:y>
    </cdr:from>
    <cdr:to>
      <cdr:x>0.93334</cdr:x>
      <cdr:y>0.44581</cdr:y>
    </cdr:to>
    <cdr:sp macro="" textlink="">
      <cdr:nvSpPr>
        <cdr:cNvPr id="5" name="吹き出し: 四角形 4">
          <a:extLst xmlns:a="http://schemas.openxmlformats.org/drawingml/2006/main">
            <a:ext uri="{FF2B5EF4-FFF2-40B4-BE49-F238E27FC236}">
              <a16:creationId xmlns:a16="http://schemas.microsoft.com/office/drawing/2014/main" id="{75C3BFD4-E616-47D2-A621-8F41BF4C5F89}"/>
            </a:ext>
          </a:extLst>
        </cdr:cNvPr>
        <cdr:cNvSpPr/>
      </cdr:nvSpPr>
      <cdr:spPr>
        <a:xfrm xmlns:a="http://schemas.openxmlformats.org/drawingml/2006/main">
          <a:off x="3683000" y="1447800"/>
          <a:ext cx="584210" cy="239415"/>
        </a:xfrm>
        <a:prstGeom xmlns:a="http://schemas.openxmlformats.org/drawingml/2006/main" prst="wedgeRectCallout">
          <a:avLst>
            <a:gd name="adj1" fmla="val 16898"/>
            <a:gd name="adj2" fmla="val -168685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湖西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7/31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0.42917</cdr:x>
      <cdr:y>0.73218</cdr:y>
    </cdr:from>
    <cdr:to>
      <cdr:x>0.55694</cdr:x>
      <cdr:y>0.79525</cdr:y>
    </cdr:to>
    <cdr:sp macro="" textlink="">
      <cdr:nvSpPr>
        <cdr:cNvPr id="2" name="吹き出し: 四角形 1">
          <a:extLst xmlns:a="http://schemas.openxmlformats.org/drawingml/2006/main">
            <a:ext uri="{FF2B5EF4-FFF2-40B4-BE49-F238E27FC236}">
              <a16:creationId xmlns:a16="http://schemas.microsoft.com/office/drawing/2014/main" id="{4A3FC5B5-4FF7-4CC0-BA51-E9E24D779F35}"/>
            </a:ext>
          </a:extLst>
        </cdr:cNvPr>
        <cdr:cNvSpPr/>
      </cdr:nvSpPr>
      <cdr:spPr>
        <a:xfrm xmlns:a="http://schemas.openxmlformats.org/drawingml/2006/main">
          <a:off x="1962150" y="2762250"/>
          <a:ext cx="584200" cy="237563"/>
        </a:xfrm>
        <a:prstGeom xmlns:a="http://schemas.openxmlformats.org/drawingml/2006/main" prst="wedgeRectCallout">
          <a:avLst>
            <a:gd name="adj1" fmla="val -47230"/>
            <a:gd name="adj2" fmla="val -136667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horzOverflow="clip" wrap="square" lIns="36000" tIns="36000" rIns="36000" bIns="36000" anchor="ctr" anchorCtr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前橋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7/28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0.56111</cdr:x>
      <cdr:y>0.72354</cdr:y>
    </cdr:from>
    <cdr:to>
      <cdr:x>0.68889</cdr:x>
      <cdr:y>0.78685</cdr:y>
    </cdr:to>
    <cdr:sp macro="" textlink="">
      <cdr:nvSpPr>
        <cdr:cNvPr id="3" name="吹き出し: 四角形 2">
          <a:extLst xmlns:a="http://schemas.openxmlformats.org/drawingml/2006/main">
            <a:ext uri="{FF2B5EF4-FFF2-40B4-BE49-F238E27FC236}">
              <a16:creationId xmlns:a16="http://schemas.microsoft.com/office/drawing/2014/main" id="{6ADAA116-5B8B-44B6-88A4-278AB69F5303}"/>
            </a:ext>
          </a:extLst>
        </cdr:cNvPr>
        <cdr:cNvSpPr/>
      </cdr:nvSpPr>
      <cdr:spPr>
        <a:xfrm xmlns:a="http://schemas.openxmlformats.org/drawingml/2006/main">
          <a:off x="2565400" y="2729574"/>
          <a:ext cx="584200" cy="239415"/>
        </a:xfrm>
        <a:prstGeom xmlns:a="http://schemas.openxmlformats.org/drawingml/2006/main" prst="wedgeRectCallout">
          <a:avLst>
            <a:gd name="adj1" fmla="val -90708"/>
            <a:gd name="adj2" fmla="val -163397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綾瀬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7/29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0.69444</cdr:x>
      <cdr:y>0.72858</cdr:y>
    </cdr:from>
    <cdr:to>
      <cdr:x>0.82222</cdr:x>
      <cdr:y>0.79189</cdr:y>
    </cdr:to>
    <cdr:sp macro="" textlink="">
      <cdr:nvSpPr>
        <cdr:cNvPr id="4" name="吹き出し: 四角形 3">
          <a:extLst xmlns:a="http://schemas.openxmlformats.org/drawingml/2006/main">
            <a:ext uri="{FF2B5EF4-FFF2-40B4-BE49-F238E27FC236}">
              <a16:creationId xmlns:a16="http://schemas.microsoft.com/office/drawing/2014/main" id="{6ADAA116-5B8B-44B6-88A4-278AB69F5303}"/>
            </a:ext>
          </a:extLst>
        </cdr:cNvPr>
        <cdr:cNvSpPr/>
      </cdr:nvSpPr>
      <cdr:spPr>
        <a:xfrm xmlns:a="http://schemas.openxmlformats.org/drawingml/2006/main">
          <a:off x="3175000" y="2748624"/>
          <a:ext cx="584200" cy="239415"/>
        </a:xfrm>
        <a:prstGeom xmlns:a="http://schemas.openxmlformats.org/drawingml/2006/main" prst="wedgeRectCallout">
          <a:avLst>
            <a:gd name="adj1" fmla="val -148317"/>
            <a:gd name="adj2" fmla="val -227548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綾瀬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7/30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0.64028</cdr:x>
      <cdr:y>0.48485</cdr:y>
    </cdr:from>
    <cdr:to>
      <cdr:x>0.76806</cdr:x>
      <cdr:y>0.54816</cdr:y>
    </cdr:to>
    <cdr:sp macro="" textlink="">
      <cdr:nvSpPr>
        <cdr:cNvPr id="5" name="吹き出し: 四角形 4">
          <a:extLst xmlns:a="http://schemas.openxmlformats.org/drawingml/2006/main">
            <a:ext uri="{FF2B5EF4-FFF2-40B4-BE49-F238E27FC236}">
              <a16:creationId xmlns:a16="http://schemas.microsoft.com/office/drawing/2014/main" id="{1EC9E7A1-9398-4ABB-843D-105911DD9FCF}"/>
            </a:ext>
          </a:extLst>
        </cdr:cNvPr>
        <cdr:cNvSpPr/>
      </cdr:nvSpPr>
      <cdr:spPr>
        <a:xfrm xmlns:a="http://schemas.openxmlformats.org/drawingml/2006/main">
          <a:off x="2927350" y="1828800"/>
          <a:ext cx="584200" cy="239415"/>
        </a:xfrm>
        <a:prstGeom xmlns:a="http://schemas.openxmlformats.org/drawingml/2006/main" prst="wedgeRectCallout">
          <a:avLst>
            <a:gd name="adj1" fmla="val -96143"/>
            <a:gd name="adj2" fmla="val 53595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綾瀬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8/2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0.62639</cdr:x>
      <cdr:y>0.6295</cdr:y>
    </cdr:from>
    <cdr:to>
      <cdr:x>0.75417</cdr:x>
      <cdr:y>0.69306</cdr:y>
    </cdr:to>
    <cdr:sp macro="" textlink="">
      <cdr:nvSpPr>
        <cdr:cNvPr id="6" name="吹き出し: 四角形 5">
          <a:extLst xmlns:a="http://schemas.openxmlformats.org/drawingml/2006/main">
            <a:ext uri="{FF2B5EF4-FFF2-40B4-BE49-F238E27FC236}">
              <a16:creationId xmlns:a16="http://schemas.microsoft.com/office/drawing/2014/main" id="{1EC9E7A1-9398-4ABB-843D-105911DD9FCF}"/>
            </a:ext>
          </a:extLst>
        </cdr:cNvPr>
        <cdr:cNvSpPr/>
      </cdr:nvSpPr>
      <cdr:spPr>
        <a:xfrm xmlns:a="http://schemas.openxmlformats.org/drawingml/2006/main">
          <a:off x="2863850" y="2374900"/>
          <a:ext cx="584200" cy="239415"/>
        </a:xfrm>
        <a:prstGeom xmlns:a="http://schemas.openxmlformats.org/drawingml/2006/main" prst="wedgeRectCallout">
          <a:avLst>
            <a:gd name="adj1" fmla="val -74404"/>
            <a:gd name="adj2" fmla="val -132065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綾瀬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7/28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0.6875</cdr:x>
      <cdr:y>0.55538</cdr:y>
    </cdr:from>
    <cdr:to>
      <cdr:x>0.81528</cdr:x>
      <cdr:y>0.61893</cdr:y>
    </cdr:to>
    <cdr:sp macro="" textlink="">
      <cdr:nvSpPr>
        <cdr:cNvPr id="7" name="吹き出し: 四角形 6">
          <a:extLst xmlns:a="http://schemas.openxmlformats.org/drawingml/2006/main">
            <a:ext uri="{FF2B5EF4-FFF2-40B4-BE49-F238E27FC236}">
              <a16:creationId xmlns:a16="http://schemas.microsoft.com/office/drawing/2014/main" id="{1EC9E7A1-9398-4ABB-843D-105911DD9FCF}"/>
            </a:ext>
          </a:extLst>
        </cdr:cNvPr>
        <cdr:cNvSpPr/>
      </cdr:nvSpPr>
      <cdr:spPr>
        <a:xfrm xmlns:a="http://schemas.openxmlformats.org/drawingml/2006/main">
          <a:off x="3143250" y="2095500"/>
          <a:ext cx="584200" cy="239415"/>
        </a:xfrm>
        <a:prstGeom xmlns:a="http://schemas.openxmlformats.org/drawingml/2006/main" prst="wedgeRectCallout">
          <a:avLst>
            <a:gd name="adj1" fmla="val -96143"/>
            <a:gd name="adj2" fmla="val -18017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多摩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7/28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0.79722</cdr:x>
      <cdr:y>0.39295</cdr:y>
    </cdr:from>
    <cdr:to>
      <cdr:x>0.925</cdr:x>
      <cdr:y>0.45626</cdr:y>
    </cdr:to>
    <cdr:sp macro="" textlink="">
      <cdr:nvSpPr>
        <cdr:cNvPr id="8" name="吹き出し: 四角形 7">
          <a:extLst xmlns:a="http://schemas.openxmlformats.org/drawingml/2006/main">
            <a:ext uri="{FF2B5EF4-FFF2-40B4-BE49-F238E27FC236}">
              <a16:creationId xmlns:a16="http://schemas.microsoft.com/office/drawing/2014/main" id="{2A14B062-E877-4F18-B126-F2FEC6A2C3EA}"/>
            </a:ext>
          </a:extLst>
        </cdr:cNvPr>
        <cdr:cNvSpPr/>
      </cdr:nvSpPr>
      <cdr:spPr>
        <a:xfrm xmlns:a="http://schemas.openxmlformats.org/drawingml/2006/main">
          <a:off x="3644900" y="1485900"/>
          <a:ext cx="584200" cy="239415"/>
        </a:xfrm>
        <a:prstGeom xmlns:a="http://schemas.openxmlformats.org/drawingml/2006/main" prst="wedgeRectCallout">
          <a:avLst>
            <a:gd name="adj1" fmla="val -52665"/>
            <a:gd name="adj2" fmla="val 106641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36000" tIns="36000" rIns="36000" bIns="3600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綾瀬</a:t>
          </a:r>
          <a:r>
            <a:rPr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8/1</a:t>
          </a:r>
          <a:endParaRPr 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14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" sqref="N1"/>
    </sheetView>
  </sheetViews>
  <sheetFormatPr defaultRowHeight="13" x14ac:dyDescent="0.2"/>
  <cols>
    <col min="1" max="1" width="8.7265625" customWidth="1"/>
  </cols>
  <sheetData>
    <row r="1" spans="1:13" ht="16" x14ac:dyDescent="0.2">
      <c r="A1" s="568"/>
      <c r="B1" s="577" t="s">
        <v>8</v>
      </c>
      <c r="C1" s="570" t="s">
        <v>9</v>
      </c>
      <c r="D1" s="571" t="s">
        <v>10</v>
      </c>
      <c r="E1" s="571" t="s">
        <v>11</v>
      </c>
      <c r="F1" s="572" t="s">
        <v>12</v>
      </c>
      <c r="G1" s="571" t="s">
        <v>13</v>
      </c>
      <c r="H1" s="571" t="s">
        <v>14</v>
      </c>
      <c r="I1" s="571" t="s">
        <v>15</v>
      </c>
      <c r="J1" s="569" t="s">
        <v>16</v>
      </c>
      <c r="K1" s="576" t="s">
        <v>56</v>
      </c>
      <c r="L1" s="569" t="s">
        <v>57</v>
      </c>
      <c r="M1" s="688" t="s">
        <v>661</v>
      </c>
    </row>
    <row r="2" spans="1:13" x14ac:dyDescent="0.2">
      <c r="A2" t="s">
        <v>571</v>
      </c>
      <c r="B2" s="567">
        <f>土浦!D21</f>
        <v>27</v>
      </c>
      <c r="C2" s="619">
        <f>土浦!E21</f>
        <v>4.9928571428571435E-3</v>
      </c>
      <c r="D2" s="564">
        <f>土浦!F21</f>
        <v>0.23485714285714285</v>
      </c>
      <c r="E2" s="564">
        <f>土浦!G21</f>
        <v>9.9857142857142858</v>
      </c>
      <c r="F2" s="564">
        <f>土浦!H21</f>
        <v>0.15057142857142858</v>
      </c>
      <c r="G2" s="564">
        <f>土浦!I21</f>
        <v>3.7857142857142856</v>
      </c>
      <c r="H2" s="564">
        <f>土浦!J21</f>
        <v>9.6000000000000002E-2</v>
      </c>
      <c r="I2" s="610">
        <f>土浦!K21</f>
        <v>2.471428571428572E-2</v>
      </c>
      <c r="J2" s="564">
        <f>土浦!L21</f>
        <v>4.9714285714285725E-2</v>
      </c>
      <c r="K2" s="565">
        <f>土浦!AZ21</f>
        <v>4.4571428571428573</v>
      </c>
      <c r="L2" s="564">
        <f>土浦!BA21</f>
        <v>0.87285714285714289</v>
      </c>
      <c r="M2" s="586">
        <f t="shared" ref="M2:M25" si="0">B2-SUM(C2:J2,K2:L2)</f>
        <v>7.3377214285714274</v>
      </c>
    </row>
    <row r="3" spans="1:13" x14ac:dyDescent="0.2">
      <c r="A3" t="s">
        <v>594</v>
      </c>
      <c r="B3" s="567">
        <f>真岡!D21</f>
        <v>23.528571428571432</v>
      </c>
      <c r="C3" s="619">
        <f>真岡!E21</f>
        <v>1.0999999999999998E-2</v>
      </c>
      <c r="D3" s="564">
        <f>真岡!F21</f>
        <v>0.15714285714285717</v>
      </c>
      <c r="E3" s="564">
        <f>真岡!G21</f>
        <v>8.7571428571428562</v>
      </c>
      <c r="F3" s="564">
        <f>真岡!H21</f>
        <v>0.113</v>
      </c>
      <c r="G3" s="564">
        <f>真岡!I21</f>
        <v>3.1</v>
      </c>
      <c r="H3" s="564">
        <f>真岡!J21</f>
        <v>0.22185714285714284</v>
      </c>
      <c r="I3" s="610">
        <f>真岡!K21</f>
        <v>2.1914285714285713E-2</v>
      </c>
      <c r="J3" s="564">
        <f>真岡!L21</f>
        <v>2.7E-2</v>
      </c>
      <c r="K3" s="565">
        <f>真岡!BA21</f>
        <v>4.2857142857142856</v>
      </c>
      <c r="L3" s="587">
        <f>真岡!BB21</f>
        <v>1.3942857142857144</v>
      </c>
      <c r="M3" s="586">
        <f t="shared" si="0"/>
        <v>5.4395142857142922</v>
      </c>
    </row>
    <row r="4" spans="1:13" x14ac:dyDescent="0.2">
      <c r="A4" t="s">
        <v>284</v>
      </c>
      <c r="B4" s="567">
        <f>前橋!D21</f>
        <v>16.885714285714286</v>
      </c>
      <c r="C4" s="619">
        <f>前橋!E21</f>
        <v>8.0000000000000002E-3</v>
      </c>
      <c r="D4" s="564">
        <f>前橋!F21</f>
        <v>0.15607142857142858</v>
      </c>
      <c r="E4" s="564">
        <f>前橋!G21</f>
        <v>4.4571428571428573</v>
      </c>
      <c r="F4" s="564">
        <f>前橋!H21</f>
        <v>2.525714285714286E-2</v>
      </c>
      <c r="G4" s="564">
        <f>前橋!I21</f>
        <v>1.6142857142857143</v>
      </c>
      <c r="H4" s="564">
        <f>前橋!J21</f>
        <v>6.1285714285714291E-2</v>
      </c>
      <c r="I4" s="610">
        <f>前橋!K21</f>
        <v>7.4999999999999997E-3</v>
      </c>
      <c r="J4" s="564">
        <f>前橋!L21</f>
        <v>2.8714285714285713E-2</v>
      </c>
      <c r="K4" s="565">
        <f>前橋!AZ21</f>
        <v>3.7285714285714286</v>
      </c>
      <c r="L4" s="564">
        <f>前橋!BA21</f>
        <v>1.3285714285714285</v>
      </c>
      <c r="M4" s="586">
        <f t="shared" si="0"/>
        <v>5.4703142857142844</v>
      </c>
    </row>
    <row r="5" spans="1:13" x14ac:dyDescent="0.2">
      <c r="A5" t="s">
        <v>320</v>
      </c>
      <c r="B5" s="567">
        <f>館林!D21</f>
        <v>23.528571428571428</v>
      </c>
      <c r="C5" s="619">
        <f>館林!E21</f>
        <v>8.0000000000000002E-3</v>
      </c>
      <c r="D5" s="564">
        <f>館林!F21</f>
        <v>0.11614285714285714</v>
      </c>
      <c r="E5" s="564">
        <f>館林!G21</f>
        <v>7.0428571428571427</v>
      </c>
      <c r="F5" s="564">
        <f>館林!H21</f>
        <v>9.0857142857142859E-2</v>
      </c>
      <c r="G5" s="564">
        <f>館林!I21</f>
        <v>2.4285714285714284</v>
      </c>
      <c r="H5" s="564">
        <f>館林!J21</f>
        <v>8.9714285714285719E-2</v>
      </c>
      <c r="I5" s="610">
        <f>館林!K21</f>
        <v>1.5357142857142859E-2</v>
      </c>
      <c r="J5" s="564">
        <f>館林!L21</f>
        <v>5.0999999999999997E-2</v>
      </c>
      <c r="K5" s="565">
        <f>館林!AZ21</f>
        <v>5.2</v>
      </c>
      <c r="L5" s="564">
        <f>館林!BA21</f>
        <v>1.842857142857143</v>
      </c>
      <c r="M5" s="586">
        <f t="shared" si="0"/>
        <v>6.6432142857142864</v>
      </c>
    </row>
    <row r="6" spans="1:13" x14ac:dyDescent="0.2">
      <c r="A6" t="s">
        <v>100</v>
      </c>
      <c r="B6" s="567">
        <f>鴻巣!D21</f>
        <v>24.285714285714285</v>
      </c>
      <c r="C6" s="619">
        <f>鴻巣!E21</f>
        <v>2.2999999999999996E-2</v>
      </c>
      <c r="D6" s="564">
        <f>鴻巣!F21</f>
        <v>0.2382857142857143</v>
      </c>
      <c r="E6" s="564">
        <f>鴻巣!G21</f>
        <v>9.3142857142857149</v>
      </c>
      <c r="F6" s="564">
        <f>鴻巣!H21</f>
        <v>9.6428571428571419E-2</v>
      </c>
      <c r="G6" s="564">
        <f>鴻巣!I21</f>
        <v>3.4428571428571431</v>
      </c>
      <c r="H6" s="564">
        <f>鴻巣!J21</f>
        <v>0.17142857142857143</v>
      </c>
      <c r="I6" s="610">
        <f>鴻巣!K21</f>
        <v>9.9285714285714272E-3</v>
      </c>
      <c r="J6" s="564">
        <f>鴻巣!L21</f>
        <v>1.4700000000000001E-2</v>
      </c>
      <c r="K6" s="565">
        <f>鴻巣!AZ21</f>
        <v>4.6142857142857139</v>
      </c>
      <c r="L6" s="564">
        <f>鴻巣!BA21</f>
        <v>1.5857142857142856</v>
      </c>
      <c r="M6" s="586">
        <f t="shared" si="0"/>
        <v>4.7748000000000026</v>
      </c>
    </row>
    <row r="7" spans="1:13" x14ac:dyDescent="0.2">
      <c r="A7" t="s">
        <v>213</v>
      </c>
      <c r="B7" s="567">
        <f>幸手!D21</f>
        <v>24</v>
      </c>
      <c r="C7" s="619">
        <f>幸手!E21</f>
        <v>2.2999999999999996E-2</v>
      </c>
      <c r="D7" s="564">
        <f>幸手!F21</f>
        <v>0.193</v>
      </c>
      <c r="E7" s="564">
        <f>幸手!G21</f>
        <v>9.2428571428571438</v>
      </c>
      <c r="F7" s="564">
        <f>幸手!H21</f>
        <v>0.11099999999999999</v>
      </c>
      <c r="G7" s="564">
        <f>幸手!I21</f>
        <v>3.4142857142857141</v>
      </c>
      <c r="H7" s="564">
        <f>幸手!J21</f>
        <v>0.18557142857142858</v>
      </c>
      <c r="I7" s="610">
        <f>幸手!K21</f>
        <v>9.7428571428571416E-3</v>
      </c>
      <c r="J7" s="564">
        <f>幸手!L21</f>
        <v>1.7714285714285717E-2</v>
      </c>
      <c r="K7" s="565">
        <f>幸手!AZ21</f>
        <v>3.9999999999999996</v>
      </c>
      <c r="L7" s="564">
        <f>幸手!BA21</f>
        <v>1.657142857142857</v>
      </c>
      <c r="M7" s="586">
        <f t="shared" si="0"/>
        <v>5.1456857142857118</v>
      </c>
    </row>
    <row r="8" spans="1:13" x14ac:dyDescent="0.2">
      <c r="A8" t="s">
        <v>595</v>
      </c>
      <c r="B8" s="567">
        <f>さいたま!D21</f>
        <v>25.528571428571432</v>
      </c>
      <c r="C8" s="619">
        <f>さいたま!E21</f>
        <v>2.1899999999999996E-2</v>
      </c>
      <c r="D8" s="564">
        <f>さいたま!F21</f>
        <v>0.35285714285714287</v>
      </c>
      <c r="E8" s="564">
        <f>さいたま!G21</f>
        <v>8.6571428571428566</v>
      </c>
      <c r="F8" s="564">
        <f>さいたま!H21</f>
        <v>0.13057142857142856</v>
      </c>
      <c r="G8" s="564">
        <f>さいたま!I21</f>
        <v>3.0714285714285707</v>
      </c>
      <c r="H8" s="564">
        <f>さいたま!J21</f>
        <v>0.16300000000000001</v>
      </c>
      <c r="I8" s="610">
        <f>さいたま!K21</f>
        <v>2.2999999999999996E-2</v>
      </c>
      <c r="J8" s="564">
        <f>さいたま!L21</f>
        <v>0.10771428571428572</v>
      </c>
      <c r="K8" s="565">
        <f>さいたま!AZ21</f>
        <v>4.8999999999999995</v>
      </c>
      <c r="L8" s="564">
        <f>さいたま!BA21</f>
        <v>1.5999999999999999</v>
      </c>
      <c r="M8" s="586">
        <f t="shared" si="0"/>
        <v>6.5009571428571462</v>
      </c>
    </row>
    <row r="9" spans="1:13" x14ac:dyDescent="0.2">
      <c r="A9" t="s">
        <v>525</v>
      </c>
      <c r="B9" s="567">
        <f>市原!D21</f>
        <v>26.228571428571431</v>
      </c>
      <c r="C9" s="619">
        <f>市原!E21</f>
        <v>4.7999999999999994E-2</v>
      </c>
      <c r="D9" s="564">
        <f>市原!F21</f>
        <v>6.3857142857142848E-2</v>
      </c>
      <c r="E9" s="564">
        <f>市原!G21</f>
        <v>10.714285714285714</v>
      </c>
      <c r="F9" s="564">
        <f>市原!H21</f>
        <v>0.14514285714285716</v>
      </c>
      <c r="G9" s="564">
        <f>市原!I21</f>
        <v>3.8571428571428572</v>
      </c>
      <c r="H9" s="564">
        <f>市原!J21</f>
        <v>0.12071428571428573</v>
      </c>
      <c r="I9" s="610">
        <f>市原!K21</f>
        <v>1.8142857142857145E-2</v>
      </c>
      <c r="J9" s="564">
        <f>市原!L21</f>
        <v>0.10414285714285712</v>
      </c>
      <c r="K9" s="565">
        <f>市原!AZ21</f>
        <v>3.342857142857143</v>
      </c>
      <c r="L9" s="564">
        <f>市原!BA21</f>
        <v>1.5285714285714287</v>
      </c>
      <c r="M9" s="586">
        <f t="shared" si="0"/>
        <v>6.2857142857142883</v>
      </c>
    </row>
    <row r="10" spans="1:13" x14ac:dyDescent="0.2">
      <c r="A10" t="s">
        <v>544</v>
      </c>
      <c r="B10" s="567">
        <f>勝浦!D21</f>
        <v>19.014285714285712</v>
      </c>
      <c r="C10" s="619">
        <f>勝浦!E21</f>
        <v>4.7999999999999994E-2</v>
      </c>
      <c r="D10" s="564">
        <f>勝浦!F21</f>
        <v>4.9499999999999995E-2</v>
      </c>
      <c r="E10" s="564">
        <f>勝浦!G21</f>
        <v>8.7285714285714295</v>
      </c>
      <c r="F10" s="564">
        <f>勝浦!H21</f>
        <v>0.11085714285714286</v>
      </c>
      <c r="G10" s="564">
        <f>勝浦!I21</f>
        <v>2.9428571428571426</v>
      </c>
      <c r="H10" s="564">
        <f>勝浦!J21</f>
        <v>6.9857142857142854E-2</v>
      </c>
      <c r="I10" s="610">
        <f>勝浦!K21</f>
        <v>9.5142857142857147E-3</v>
      </c>
      <c r="J10" s="564">
        <f>勝浦!L21</f>
        <v>2.1999999999999995E-2</v>
      </c>
      <c r="K10" s="565">
        <f>勝浦!AZ21</f>
        <v>1.9142857142857144</v>
      </c>
      <c r="L10" s="564">
        <f>勝浦!BA21</f>
        <v>0.63714285714285712</v>
      </c>
      <c r="M10" s="586">
        <f t="shared" si="0"/>
        <v>4.4816999999999965</v>
      </c>
    </row>
    <row r="11" spans="1:13" x14ac:dyDescent="0.2">
      <c r="A11" t="s">
        <v>539</v>
      </c>
      <c r="B11" s="567">
        <f>富津!D21</f>
        <v>25.285714285714285</v>
      </c>
      <c r="C11" s="619">
        <f>富津!E21</f>
        <v>4.7999999999999994E-2</v>
      </c>
      <c r="D11" s="564">
        <f>富津!F21</f>
        <v>5.671428571428571E-2</v>
      </c>
      <c r="E11" s="564">
        <f>富津!G21</f>
        <v>10.914285714285715</v>
      </c>
      <c r="F11" s="564">
        <f>富津!H21</f>
        <v>0.20571428571428574</v>
      </c>
      <c r="G11" s="564">
        <f>富津!I21</f>
        <v>3.657142857142857</v>
      </c>
      <c r="H11" s="564">
        <f>富津!J21</f>
        <v>9.0857142857142859E-2</v>
      </c>
      <c r="I11" s="610">
        <f>富津!K21</f>
        <v>2.8142857142857147E-2</v>
      </c>
      <c r="J11" s="564">
        <f>富津!L21</f>
        <v>0.19742857142857143</v>
      </c>
      <c r="K11" s="565">
        <f>富津!AZ21</f>
        <v>2.6428571428571423</v>
      </c>
      <c r="L11" s="564">
        <f>富津!BA21</f>
        <v>0.98571428571428565</v>
      </c>
      <c r="M11" s="586">
        <f t="shared" si="0"/>
        <v>6.4588571428571449</v>
      </c>
    </row>
    <row r="12" spans="1:13" x14ac:dyDescent="0.2">
      <c r="A12" t="s">
        <v>596</v>
      </c>
      <c r="B12" s="567">
        <f>千葉!D21</f>
        <v>24.66071428571367</v>
      </c>
      <c r="C12" s="619">
        <f>千葉!E21</f>
        <v>3.842857142857143E-2</v>
      </c>
      <c r="D12" s="564">
        <f>千葉!F21</f>
        <v>0.15357142857142861</v>
      </c>
      <c r="E12" s="564">
        <f>千葉!G21</f>
        <v>11.357142857142858</v>
      </c>
      <c r="F12" s="564">
        <f>千葉!H21</f>
        <v>0.15771428571428572</v>
      </c>
      <c r="G12" s="564">
        <f>千葉!I21</f>
        <v>4.1285714285714281</v>
      </c>
      <c r="H12" s="564">
        <f>千葉!J21</f>
        <v>0.15071428571428575</v>
      </c>
      <c r="I12" s="610">
        <f>千葉!K21</f>
        <v>3.3714285714285717E-2</v>
      </c>
      <c r="J12" s="564">
        <f>千葉!L21</f>
        <v>4.9285714285714287E-2</v>
      </c>
      <c r="K12" s="609">
        <f>千葉!AZ21</f>
        <v>4.0571428571428569</v>
      </c>
      <c r="L12" s="673">
        <f>千葉!BA21</f>
        <v>1.357142857142857</v>
      </c>
      <c r="M12" s="586">
        <f t="shared" si="0"/>
        <v>3.1772857142851016</v>
      </c>
    </row>
    <row r="13" spans="1:13" x14ac:dyDescent="0.2">
      <c r="A13" t="s">
        <v>597</v>
      </c>
      <c r="B13" s="567">
        <f>綾瀬!D21</f>
        <v>28.099999999999998</v>
      </c>
      <c r="C13" s="619">
        <f>綾瀬!E21</f>
        <v>6.6285714285714295E-2</v>
      </c>
      <c r="D13" s="564">
        <f>綾瀬!F21</f>
        <v>0.44285714285714295</v>
      </c>
      <c r="E13" s="564">
        <f>綾瀬!G21</f>
        <v>6.6571428571428566</v>
      </c>
      <c r="F13" s="564">
        <f>綾瀬!H21</f>
        <v>0.12028571428571429</v>
      </c>
      <c r="G13" s="564">
        <f>綾瀬!I21</f>
        <v>2.2714285714285718</v>
      </c>
      <c r="H13" s="564">
        <f>綾瀬!J21</f>
        <v>8.357142857142856E-2</v>
      </c>
      <c r="I13" s="610">
        <f>綾瀬!K21</f>
        <v>1.5714285714285715E-2</v>
      </c>
      <c r="J13" s="564">
        <f>綾瀬!L21</f>
        <v>4.5714285714285721E-2</v>
      </c>
      <c r="K13" s="609">
        <f>綾瀬!AZ21</f>
        <v>2.9714285714285715</v>
      </c>
      <c r="L13" s="564">
        <f>綾瀬!BA21</f>
        <v>1.642857142857143</v>
      </c>
      <c r="M13" s="586">
        <f t="shared" si="0"/>
        <v>13.782714285714285</v>
      </c>
    </row>
    <row r="14" spans="1:13" x14ac:dyDescent="0.2">
      <c r="A14" t="s">
        <v>598</v>
      </c>
      <c r="B14" s="567">
        <f>多摩!D21</f>
        <v>26.514285714285709</v>
      </c>
      <c r="C14" s="619">
        <f>多摩!E21</f>
        <v>8.5714285714285729E-2</v>
      </c>
      <c r="D14" s="564">
        <f>多摩!F21</f>
        <v>0.34714285714285714</v>
      </c>
      <c r="E14" s="564">
        <f>多摩!G21</f>
        <v>10.028571428571428</v>
      </c>
      <c r="F14" s="564">
        <f>多摩!H21</f>
        <v>0.14371428571428571</v>
      </c>
      <c r="G14" s="564">
        <f>多摩!I21</f>
        <v>3.4285714285714284</v>
      </c>
      <c r="H14" s="564">
        <f>多摩!J21</f>
        <v>0.19214285714285712</v>
      </c>
      <c r="I14" s="610">
        <f>多摩!K21</f>
        <v>2.6428571428571423E-2</v>
      </c>
      <c r="J14" s="564">
        <f>多摩!L21</f>
        <v>3.7142857142857144E-2</v>
      </c>
      <c r="K14" s="609">
        <f>多摩!AZ21</f>
        <v>2.9428571428571426</v>
      </c>
      <c r="L14" s="564">
        <f>多摩!BA21</f>
        <v>1.3285714285714287</v>
      </c>
      <c r="M14" s="586">
        <f t="shared" si="0"/>
        <v>7.9534285714285673</v>
      </c>
    </row>
    <row r="15" spans="1:13" x14ac:dyDescent="0.2">
      <c r="A15" t="s">
        <v>599</v>
      </c>
      <c r="B15" s="567">
        <f>大和!D21</f>
        <v>25.214285714285719</v>
      </c>
      <c r="C15" s="619">
        <f>大和!E21</f>
        <v>4.0500000000000001E-2</v>
      </c>
      <c r="D15" s="564">
        <f>大和!F21</f>
        <v>0.13</v>
      </c>
      <c r="E15" s="564">
        <f>大和!G21</f>
        <v>11.057142857142859</v>
      </c>
      <c r="F15" s="564">
        <f>大和!H21</f>
        <v>0.14835714285714285</v>
      </c>
      <c r="G15" s="564">
        <f>大和!I21</f>
        <v>3.7285714285714286</v>
      </c>
      <c r="H15" s="564">
        <f>大和!J21</f>
        <v>0.11</v>
      </c>
      <c r="I15" s="610">
        <f>大和!K21</f>
        <v>2.0571428571428574E-2</v>
      </c>
      <c r="J15" s="564">
        <f>大和!L21</f>
        <v>4.8285714285714286E-2</v>
      </c>
      <c r="K15" s="565">
        <f>大和!AZ21</f>
        <v>3.2857142857142851</v>
      </c>
      <c r="L15" s="564">
        <f>大和!BA21</f>
        <v>1.3571428571428574</v>
      </c>
      <c r="M15" s="586">
        <f t="shared" si="0"/>
        <v>5.2880000000000038</v>
      </c>
    </row>
    <row r="16" spans="1:13" x14ac:dyDescent="0.2">
      <c r="A16" t="s">
        <v>600</v>
      </c>
      <c r="B16" s="567">
        <f>横浜!D21</f>
        <v>26.528571428571428</v>
      </c>
      <c r="C16" s="619">
        <f>横浜!E21</f>
        <v>9.9999999999999985E-3</v>
      </c>
      <c r="D16" s="564">
        <f>横浜!F21</f>
        <v>5.7142857142857141E-2</v>
      </c>
      <c r="E16" s="564">
        <f>横浜!G21</f>
        <v>13.12857142857143</v>
      </c>
      <c r="F16" s="564">
        <f>横浜!H21</f>
        <v>0.26714285714285713</v>
      </c>
      <c r="G16" s="564">
        <f>横浜!I21</f>
        <v>4.7</v>
      </c>
      <c r="H16" s="564">
        <f>横浜!J21</f>
        <v>0.18</v>
      </c>
      <c r="I16" s="610">
        <f>横浜!K21</f>
        <v>3.8571428571428576E-2</v>
      </c>
      <c r="J16" s="564">
        <f>横浜!L21</f>
        <v>0.12714285714285714</v>
      </c>
      <c r="K16" s="565">
        <f>横浜!AZ21</f>
        <v>2.6999999999999997</v>
      </c>
      <c r="L16" s="564">
        <f>横浜!BA21</f>
        <v>1.2142857142857142</v>
      </c>
      <c r="M16" s="586">
        <f t="shared" si="0"/>
        <v>4.1057142857142814</v>
      </c>
    </row>
    <row r="17" spans="1:13" x14ac:dyDescent="0.2">
      <c r="A17" t="s">
        <v>560</v>
      </c>
      <c r="B17" s="567">
        <f>川崎!D21</f>
        <v>26.5</v>
      </c>
      <c r="C17" s="619">
        <f>川崎!E21</f>
        <v>5.0000000000000001E-3</v>
      </c>
      <c r="D17" s="564">
        <f>川崎!F21</f>
        <v>9.65714285714286E-2</v>
      </c>
      <c r="E17" s="564">
        <f>川崎!G21</f>
        <v>12.471428571428572</v>
      </c>
      <c r="F17" s="564">
        <f>川崎!H21</f>
        <v>0.22428571428571425</v>
      </c>
      <c r="G17" s="564">
        <f>川崎!I21</f>
        <v>4.1428571428571432</v>
      </c>
      <c r="H17" s="564">
        <f>川崎!J21</f>
        <v>0.13257142857142856</v>
      </c>
      <c r="I17" s="610">
        <f>川崎!K21</f>
        <v>4.2571428571428573E-2</v>
      </c>
      <c r="J17" s="564">
        <f>川崎!L21</f>
        <v>6.9999999999999993E-2</v>
      </c>
      <c r="K17" s="565">
        <f>川崎!AZ21</f>
        <v>3.9142857142857146</v>
      </c>
      <c r="L17" s="564">
        <f>川崎!BA21</f>
        <v>1.6142857142857143</v>
      </c>
      <c r="M17" s="586">
        <f t="shared" si="0"/>
        <v>3.7861428571428561</v>
      </c>
    </row>
    <row r="18" spans="1:13" x14ac:dyDescent="0.2">
      <c r="A18" t="s">
        <v>601</v>
      </c>
      <c r="B18" s="567">
        <f>相模原!D21</f>
        <v>25.785714285714285</v>
      </c>
      <c r="C18" s="619">
        <f>相模原!E21</f>
        <v>1.1428571428571427E-2</v>
      </c>
      <c r="D18" s="564">
        <f>相模原!F21</f>
        <v>0.1842857142857143</v>
      </c>
      <c r="E18" s="564">
        <f>相模原!G21</f>
        <v>10.271428571428572</v>
      </c>
      <c r="F18" s="564">
        <f>相模原!H21</f>
        <v>0.19</v>
      </c>
      <c r="G18" s="564">
        <f>相模原!I21</f>
        <v>3.8999999999999995</v>
      </c>
      <c r="H18" s="564">
        <f>相模原!J21</f>
        <v>0.18857142857142856</v>
      </c>
      <c r="I18" s="610">
        <f>相模原!K21</f>
        <v>2.5714285714285714E-2</v>
      </c>
      <c r="J18" s="564">
        <f>相模原!L21</f>
        <v>3.4285714285714287E-2</v>
      </c>
      <c r="K18" s="565">
        <f>相模原!AZ21</f>
        <v>4.3428571428571425</v>
      </c>
      <c r="L18" s="564">
        <f>相模原!BA21</f>
        <v>1.2457142857142858</v>
      </c>
      <c r="M18" s="586">
        <f t="shared" si="0"/>
        <v>5.3914285714285732</v>
      </c>
    </row>
    <row r="19" spans="1:13" x14ac:dyDescent="0.2">
      <c r="A19" t="s">
        <v>430</v>
      </c>
      <c r="B19" s="567">
        <f>甲府!D21</f>
        <v>25.171428571428571</v>
      </c>
      <c r="C19" s="619">
        <f>甲府!E21</f>
        <v>5.9999999999999993E-3</v>
      </c>
      <c r="D19" s="564">
        <f>甲府!F21</f>
        <v>4.5642857142857138E-2</v>
      </c>
      <c r="E19" s="564">
        <f>甲府!G21</f>
        <v>9.3428571428571434</v>
      </c>
      <c r="F19" s="564">
        <f>甲府!H21</f>
        <v>7.8714285714285723E-2</v>
      </c>
      <c r="G19" s="564">
        <f>甲府!I21</f>
        <v>3.4014285714285717</v>
      </c>
      <c r="H19" s="564">
        <f>甲府!J21</f>
        <v>0.14714285714285716</v>
      </c>
      <c r="I19" s="610">
        <f>甲府!K21</f>
        <v>8.7428571428571425E-2</v>
      </c>
      <c r="J19" s="564">
        <f>甲府!L21</f>
        <v>4.0142857142857147E-2</v>
      </c>
      <c r="K19" s="565">
        <f>甲府!AZ21</f>
        <v>4.5142857142857142</v>
      </c>
      <c r="L19" s="564">
        <f>甲府!BA21</f>
        <v>1.4957142857142856</v>
      </c>
      <c r="M19" s="586">
        <f t="shared" si="0"/>
        <v>6.0120714285714278</v>
      </c>
    </row>
    <row r="20" spans="1:13" x14ac:dyDescent="0.2">
      <c r="A20" t="s">
        <v>321</v>
      </c>
      <c r="B20" s="567">
        <f>吉田!D21</f>
        <v>26.657142857142855</v>
      </c>
      <c r="C20" s="619">
        <f>吉田!E21</f>
        <v>5.9999999999999993E-3</v>
      </c>
      <c r="D20" s="564">
        <f>吉田!F21</f>
        <v>6.2857142857142861E-2</v>
      </c>
      <c r="E20" s="564">
        <f>吉田!G21</f>
        <v>10.971428571428572</v>
      </c>
      <c r="F20" s="564">
        <f>吉田!H21</f>
        <v>5.3000000000000012E-2</v>
      </c>
      <c r="G20" s="564">
        <f>吉田!I21</f>
        <v>3.8428571428571425</v>
      </c>
      <c r="H20" s="564">
        <f>吉田!J21</f>
        <v>0.17142857142857143</v>
      </c>
      <c r="I20" s="610">
        <f>吉田!K21</f>
        <v>8.7714285714285717E-2</v>
      </c>
      <c r="J20" s="564">
        <f>吉田!L21</f>
        <v>2.7857142857142858E-2</v>
      </c>
      <c r="K20" s="565">
        <f>吉田!AZ21</f>
        <v>4.1714285714285717</v>
      </c>
      <c r="L20" s="564">
        <f>吉田!BA21</f>
        <v>1.7</v>
      </c>
      <c r="M20" s="586">
        <f t="shared" si="0"/>
        <v>5.5625714285714274</v>
      </c>
    </row>
    <row r="21" spans="1:13" x14ac:dyDescent="0.2">
      <c r="A21" t="s">
        <v>602</v>
      </c>
      <c r="B21" s="567">
        <f>長野!D21</f>
        <v>19.214285714285715</v>
      </c>
      <c r="C21" s="619">
        <f>長野!E21</f>
        <v>1.5857142857142858E-2</v>
      </c>
      <c r="D21" s="564">
        <f>長野!F21</f>
        <v>0.11028571428571428</v>
      </c>
      <c r="E21" s="564">
        <f>長野!G21</f>
        <v>6.8428571428571425</v>
      </c>
      <c r="F21" s="564">
        <f>長野!H21</f>
        <v>5.3285714285714283E-2</v>
      </c>
      <c r="G21" s="564">
        <f>長野!I21</f>
        <v>2.3514285714285714</v>
      </c>
      <c r="H21" s="564">
        <f>長野!J21</f>
        <v>7.2714285714285731E-2</v>
      </c>
      <c r="I21" s="610">
        <f>長野!K21</f>
        <v>1.0528571428571427E-2</v>
      </c>
      <c r="J21" s="564">
        <f>長野!L21</f>
        <v>3.0857142857142857E-2</v>
      </c>
      <c r="K21" s="565">
        <f>長野!AZ21</f>
        <v>2.6285714285714286</v>
      </c>
      <c r="L21" s="564">
        <f>長野!BA21</f>
        <v>0.93285714285714272</v>
      </c>
      <c r="M21" s="586">
        <f t="shared" si="0"/>
        <v>6.1650428571428595</v>
      </c>
    </row>
    <row r="22" spans="1:13" x14ac:dyDescent="0.2">
      <c r="A22" t="s">
        <v>603</v>
      </c>
      <c r="B22" s="567">
        <f>富士!D21</f>
        <v>28.171428571428574</v>
      </c>
      <c r="C22" s="619">
        <f>富士!E21</f>
        <v>3.3514285714285712E-2</v>
      </c>
      <c r="D22" s="564">
        <f>富士!F21</f>
        <v>3.2857142857142856E-2</v>
      </c>
      <c r="E22" s="564">
        <f>富士!G21</f>
        <v>12.257142857142856</v>
      </c>
      <c r="F22" s="564">
        <f>富士!H21</f>
        <v>0.21200000000000002</v>
      </c>
      <c r="G22" s="564">
        <f>富士!I21</f>
        <v>5.0142857142857142</v>
      </c>
      <c r="H22" s="564">
        <f>富士!J21</f>
        <v>7.6999999999999999E-2</v>
      </c>
      <c r="I22" s="610">
        <f>富士!K21</f>
        <v>3.1428571428571424E-2</v>
      </c>
      <c r="J22" s="564">
        <f>富士!L21</f>
        <v>9.4714285714285709E-2</v>
      </c>
      <c r="K22" s="565">
        <f>富士!AZ21</f>
        <v>2.4171428571428568</v>
      </c>
      <c r="L22" s="564">
        <f>富士!BA21</f>
        <v>1.4514285714285715</v>
      </c>
      <c r="M22" s="586">
        <f t="shared" si="0"/>
        <v>6.5499142857142907</v>
      </c>
    </row>
    <row r="23" spans="1:13" x14ac:dyDescent="0.2">
      <c r="A23" t="s">
        <v>604</v>
      </c>
      <c r="B23" s="567">
        <f>湖西!D21</f>
        <v>27.800000000000004</v>
      </c>
      <c r="C23" s="619">
        <f>湖西!E21</f>
        <v>4.8142857142857145E-3</v>
      </c>
      <c r="D23" s="564">
        <f>湖西!F21</f>
        <v>4.7571428571428584E-2</v>
      </c>
      <c r="E23" s="564">
        <f>湖西!G21</f>
        <v>12.642857142857142</v>
      </c>
      <c r="F23" s="564">
        <f>湖西!H21</f>
        <v>6.9142857142857145E-2</v>
      </c>
      <c r="G23" s="564">
        <f>湖西!I21</f>
        <v>5.6571428571428566</v>
      </c>
      <c r="H23" s="564">
        <f>湖西!J21</f>
        <v>0.10571428571428569</v>
      </c>
      <c r="I23" s="610">
        <f>湖西!K21</f>
        <v>1.9E-2</v>
      </c>
      <c r="J23" s="564">
        <f>湖西!L21</f>
        <v>7.1999999999999995E-2</v>
      </c>
      <c r="K23" s="565">
        <f>湖西!AZ21</f>
        <v>2.16</v>
      </c>
      <c r="L23" s="564">
        <f>湖西!BA21</f>
        <v>1.1485714285714288</v>
      </c>
      <c r="M23" s="586">
        <f t="shared" si="0"/>
        <v>5.8731857142857216</v>
      </c>
    </row>
    <row r="24" spans="1:13" x14ac:dyDescent="0.2">
      <c r="A24" t="s">
        <v>605</v>
      </c>
      <c r="B24" s="567">
        <f>静岡!D21</f>
        <v>26.942857142857143</v>
      </c>
      <c r="C24" s="619">
        <f>静岡!E21</f>
        <v>5.5E-2</v>
      </c>
      <c r="D24" s="564">
        <f>静岡!F21</f>
        <v>8.4142857142857158E-2</v>
      </c>
      <c r="E24" s="564">
        <f>静岡!G21</f>
        <v>10.1</v>
      </c>
      <c r="F24" s="564">
        <f>静岡!H21</f>
        <v>0.14071428571428574</v>
      </c>
      <c r="G24" s="564">
        <f>静岡!I21</f>
        <v>4.2857142857142856</v>
      </c>
      <c r="H24" s="564">
        <f>静岡!J21</f>
        <v>0.13914285714285715</v>
      </c>
      <c r="I24" s="610">
        <f>静岡!K21</f>
        <v>1.3399999999999999E-2</v>
      </c>
      <c r="J24" s="564">
        <f>静岡!L21</f>
        <v>3.4000000000000002E-2</v>
      </c>
      <c r="K24" s="565">
        <f>静岡!AZ21</f>
        <v>3.7428571428571429</v>
      </c>
      <c r="L24" s="564">
        <f>静岡!BA21</f>
        <v>1.4657142857142857</v>
      </c>
      <c r="M24" s="586">
        <f t="shared" si="0"/>
        <v>6.8821714285714286</v>
      </c>
    </row>
    <row r="25" spans="1:13" x14ac:dyDescent="0.2">
      <c r="A25" s="568" t="s">
        <v>606</v>
      </c>
      <c r="B25" s="752">
        <f>浜松!D21</f>
        <v>27.528571428571428</v>
      </c>
      <c r="C25" s="753">
        <f>浜松!E21</f>
        <v>1.67E-2</v>
      </c>
      <c r="D25" s="677">
        <f>浜松!F21</f>
        <v>0.17842857142857141</v>
      </c>
      <c r="E25" s="677">
        <f>浜松!G21</f>
        <v>9.4857142857142858</v>
      </c>
      <c r="F25" s="677">
        <f>浜松!H21</f>
        <v>0.13599999999999998</v>
      </c>
      <c r="G25" s="677">
        <f>浜松!I21</f>
        <v>3.7142857142857144</v>
      </c>
      <c r="H25" s="677">
        <f>浜松!J21</f>
        <v>0.11085714285714286</v>
      </c>
      <c r="I25" s="754">
        <f>浜松!K21</f>
        <v>1.2457142857142856E-2</v>
      </c>
      <c r="J25" s="677">
        <f>浜松!L21</f>
        <v>5.9142857142857143E-2</v>
      </c>
      <c r="K25" s="755">
        <f>浜松!AZ21</f>
        <v>3.5142857142857147</v>
      </c>
      <c r="L25" s="677">
        <f>浜松!BA21</f>
        <v>1.3114285714285714</v>
      </c>
      <c r="M25" s="756">
        <f t="shared" si="0"/>
        <v>8.9892714285714277</v>
      </c>
    </row>
    <row r="28" spans="1:13" s="3" customFormat="1" x14ac:dyDescent="0.2"/>
    <row r="29" spans="1:13" s="3" customFormat="1" x14ac:dyDescent="0.2"/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zoomScaleSheetLayoutView="80" workbookViewId="0">
      <selection activeCell="BB7" sqref="BB7:BB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214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215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 t="s">
        <v>216</v>
      </c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00">
        <v>7</v>
      </c>
      <c r="E7" s="201">
        <v>5.0999999999999997E-2</v>
      </c>
      <c r="F7" s="202">
        <v>0.11</v>
      </c>
      <c r="G7" s="202">
        <v>1.2</v>
      </c>
      <c r="H7" s="203">
        <v>0.11</v>
      </c>
      <c r="I7" s="202">
        <v>0.25</v>
      </c>
      <c r="J7" s="202">
        <v>0.03</v>
      </c>
      <c r="K7" s="202">
        <v>1.6E-2</v>
      </c>
      <c r="L7" s="204">
        <v>0.33</v>
      </c>
      <c r="M7" s="201">
        <v>130</v>
      </c>
      <c r="N7" s="202">
        <v>190</v>
      </c>
      <c r="O7" s="202">
        <v>290</v>
      </c>
      <c r="P7" s="202">
        <v>46</v>
      </c>
      <c r="Q7" s="202">
        <v>300</v>
      </c>
      <c r="R7" s="205" t="s">
        <v>217</v>
      </c>
      <c r="S7" s="202">
        <v>20</v>
      </c>
      <c r="T7" s="202">
        <v>1.4</v>
      </c>
      <c r="U7" s="205" t="s">
        <v>218</v>
      </c>
      <c r="V7" s="202">
        <v>5.0999999999999996</v>
      </c>
      <c r="W7" s="202">
        <v>190</v>
      </c>
      <c r="X7" s="202">
        <v>0.11</v>
      </c>
      <c r="Y7" s="202">
        <v>0.57999999999999996</v>
      </c>
      <c r="Z7" s="202">
        <v>2.5</v>
      </c>
      <c r="AA7" s="202">
        <v>8.3000000000000007</v>
      </c>
      <c r="AB7" s="202">
        <v>0.11</v>
      </c>
      <c r="AC7" s="205" t="s">
        <v>219</v>
      </c>
      <c r="AD7" s="205" t="s">
        <v>220</v>
      </c>
      <c r="AE7" s="202">
        <v>0.08</v>
      </c>
      <c r="AF7" s="202">
        <v>0.33</v>
      </c>
      <c r="AG7" s="205" t="s">
        <v>221</v>
      </c>
      <c r="AH7" s="202">
        <v>2.4</v>
      </c>
      <c r="AI7" s="205">
        <v>5.2999999999999999E-2</v>
      </c>
      <c r="AJ7" s="202">
        <v>0.11</v>
      </c>
      <c r="AK7" s="205" t="s">
        <v>222</v>
      </c>
      <c r="AL7" s="200">
        <v>0.01</v>
      </c>
      <c r="AM7" s="200" t="s">
        <v>223</v>
      </c>
      <c r="AN7" s="200" t="s">
        <v>224</v>
      </c>
      <c r="AO7" s="200" t="s">
        <v>225</v>
      </c>
      <c r="AP7" s="202">
        <v>1.1000000000000001</v>
      </c>
      <c r="AQ7" s="206">
        <v>2.1000000000000001E-2</v>
      </c>
      <c r="AR7" s="207" t="s">
        <v>226</v>
      </c>
      <c r="AS7" s="203">
        <v>0.56000000000000005</v>
      </c>
      <c r="AT7" s="203">
        <v>0.52</v>
      </c>
      <c r="AU7" s="203">
        <v>0.33</v>
      </c>
      <c r="AV7" s="203">
        <v>0.2</v>
      </c>
      <c r="AW7" s="202">
        <v>0.3</v>
      </c>
      <c r="AX7" s="208">
        <v>0.33</v>
      </c>
      <c r="AY7" s="208">
        <v>3.5999999999999997E-2</v>
      </c>
      <c r="AZ7" s="209">
        <v>1.6</v>
      </c>
      <c r="BA7" s="209">
        <v>0.47</v>
      </c>
      <c r="BB7" s="383"/>
      <c r="BC7" s="619">
        <f>SUM(AR7:AV7)/AZ7</f>
        <v>1.0062500000000001</v>
      </c>
      <c r="BD7" s="610">
        <f>(SUM(AW7:AY7)-AV7)/BA7</f>
        <v>0.99148936170212776</v>
      </c>
      <c r="BF7" s="610">
        <f>E7/35.5</f>
        <v>1.4366197183098592E-3</v>
      </c>
      <c r="BG7" s="610">
        <f>F7/62</f>
        <v>1.7741935483870969E-3</v>
      </c>
      <c r="BH7" s="610">
        <f>G7/(96/2)</f>
        <v>2.4999999999999998E-2</v>
      </c>
      <c r="BI7" s="610">
        <f>H7/23</f>
        <v>4.7826086956521737E-3</v>
      </c>
      <c r="BJ7" s="610">
        <f>I7/18</f>
        <v>1.3888888888888888E-2</v>
      </c>
      <c r="BK7" s="610">
        <f>J7/39</f>
        <v>7.6923076923076923E-4</v>
      </c>
      <c r="BL7" s="610">
        <f>K7/(24.3/2)</f>
        <v>1.316872427983539E-3</v>
      </c>
      <c r="BM7" s="610">
        <f>L7/(40/2)</f>
        <v>1.6500000000000001E-2</v>
      </c>
      <c r="BN7" s="563">
        <f>SUM(BF7:BH7)*1000</f>
        <v>28.210813266696952</v>
      </c>
      <c r="BO7" s="563">
        <f>SUM(BI7:BM7)*1000</f>
        <v>37.257600781755372</v>
      </c>
      <c r="BP7" s="611">
        <f>BN7/BO7</f>
        <v>0.75718276740222823</v>
      </c>
      <c r="BR7" s="564">
        <f>1.375*G7</f>
        <v>1.65</v>
      </c>
      <c r="BS7" s="564">
        <f>1.29*F7</f>
        <v>0.1419</v>
      </c>
      <c r="BT7" s="564">
        <f>2.5*H7</f>
        <v>0.27500000000000002</v>
      </c>
      <c r="BU7" s="564">
        <f>1.6*AZ7</f>
        <v>2.5600000000000005</v>
      </c>
      <c r="BV7" s="564">
        <f>BA7</f>
        <v>0.47</v>
      </c>
      <c r="BW7" s="564">
        <f>9.19/1000*N7</f>
        <v>1.7461</v>
      </c>
      <c r="BX7" s="564">
        <f t="shared" ref="BX7:BX20" si="0">Q7/1000*1.4</f>
        <v>0.42</v>
      </c>
      <c r="BY7" s="564">
        <f>W7/1000*1.38</f>
        <v>0.26219999999999999</v>
      </c>
      <c r="BZ7" s="564">
        <f>S7/1000*1.67</f>
        <v>3.3399999999999999E-2</v>
      </c>
      <c r="CA7" s="564">
        <f>SUM(BR7:BZ7)</f>
        <v>7.5586000000000011</v>
      </c>
      <c r="CB7" s="611">
        <f>CA7/D7</f>
        <v>1.0798000000000001</v>
      </c>
      <c r="CD7" s="610">
        <f>AZ7/(AZ7+BA7)</f>
        <v>0.77294685990338163</v>
      </c>
      <c r="CE7" s="610">
        <f>BB7/AZ7</f>
        <v>0</v>
      </c>
      <c r="CF7" s="610">
        <f t="shared" ref="CF7:CF12" si="1">IF(AW7-AV7&gt;0,AW7-AV7,0)</f>
        <v>9.9999999999999978E-2</v>
      </c>
      <c r="CG7" s="610">
        <f t="shared" ref="CG7:CG12" si="2">IF(AW7-AV7&gt;0,AX7+AY7,AW7+AX7+AY7-AV7)</f>
        <v>0.36599999999999999</v>
      </c>
    </row>
    <row r="8" spans="2:85" ht="20.149999999999999" customHeight="1" x14ac:dyDescent="0.2">
      <c r="B8" s="31" t="s">
        <v>61</v>
      </c>
      <c r="C8" s="32" t="s">
        <v>199</v>
      </c>
      <c r="D8" s="210">
        <v>8.3000000000000007</v>
      </c>
      <c r="E8" s="211">
        <v>6.8999999999999999E-3</v>
      </c>
      <c r="F8" s="212">
        <v>0.17</v>
      </c>
      <c r="G8" s="212">
        <v>1.1000000000000001</v>
      </c>
      <c r="H8" s="213">
        <v>7.6999999999999999E-2</v>
      </c>
      <c r="I8" s="212">
        <v>0.33</v>
      </c>
      <c r="J8" s="212">
        <v>5.6000000000000001E-2</v>
      </c>
      <c r="K8" s="212">
        <v>1.0999999999999999E-2</v>
      </c>
      <c r="L8" s="214">
        <v>0.12</v>
      </c>
      <c r="M8" s="215">
        <v>92</v>
      </c>
      <c r="N8" s="212">
        <v>56</v>
      </c>
      <c r="O8" s="212">
        <v>83</v>
      </c>
      <c r="P8" s="212">
        <v>69</v>
      </c>
      <c r="Q8" s="212">
        <v>80</v>
      </c>
      <c r="R8" s="216" t="s">
        <v>217</v>
      </c>
      <c r="S8" s="212">
        <v>6.3</v>
      </c>
      <c r="T8" s="212">
        <v>3.3</v>
      </c>
      <c r="U8" s="216">
        <v>0.96</v>
      </c>
      <c r="V8" s="212">
        <v>6.4</v>
      </c>
      <c r="W8" s="212">
        <v>120</v>
      </c>
      <c r="X8" s="212">
        <v>4.7E-2</v>
      </c>
      <c r="Y8" s="212">
        <v>1.3</v>
      </c>
      <c r="Z8" s="212">
        <v>4.5</v>
      </c>
      <c r="AA8" s="212">
        <v>29</v>
      </c>
      <c r="AB8" s="212">
        <v>0.3</v>
      </c>
      <c r="AC8" s="212">
        <v>0.36</v>
      </c>
      <c r="AD8" s="216" t="s">
        <v>220</v>
      </c>
      <c r="AE8" s="212">
        <v>0.66</v>
      </c>
      <c r="AF8" s="212">
        <v>0.78</v>
      </c>
      <c r="AG8" s="212">
        <v>3.1E-2</v>
      </c>
      <c r="AH8" s="212">
        <v>4.5</v>
      </c>
      <c r="AI8" s="212">
        <v>0.11</v>
      </c>
      <c r="AJ8" s="212">
        <v>0.23</v>
      </c>
      <c r="AK8" s="216" t="s">
        <v>222</v>
      </c>
      <c r="AL8" s="210">
        <v>6.7999999999999996E-3</v>
      </c>
      <c r="AM8" s="210">
        <v>0.11</v>
      </c>
      <c r="AN8" s="210" t="s">
        <v>224</v>
      </c>
      <c r="AO8" s="210" t="s">
        <v>225</v>
      </c>
      <c r="AP8" s="212">
        <v>3.1</v>
      </c>
      <c r="AQ8" s="214">
        <v>0.1</v>
      </c>
      <c r="AR8" s="215">
        <v>2.9000000000000001E-2</v>
      </c>
      <c r="AS8" s="213">
        <v>0.93</v>
      </c>
      <c r="AT8" s="213">
        <v>0.98</v>
      </c>
      <c r="AU8" s="213">
        <v>0.65</v>
      </c>
      <c r="AV8" s="213">
        <v>0.43</v>
      </c>
      <c r="AW8" s="212">
        <v>0.91</v>
      </c>
      <c r="AX8" s="217">
        <v>0.76</v>
      </c>
      <c r="AY8" s="217">
        <v>0.15</v>
      </c>
      <c r="AZ8" s="218">
        <v>3</v>
      </c>
      <c r="BA8" s="219">
        <v>1.4</v>
      </c>
      <c r="BB8" s="391"/>
      <c r="BC8" s="619">
        <f t="shared" ref="BC8:BC20" si="3">SUM(AR8:AV8)/AZ8</f>
        <v>1.0063333333333333</v>
      </c>
      <c r="BD8" s="610">
        <f t="shared" ref="BD8:BD20" si="4">(SUM(AW8:AY8)-AV8)/BA8</f>
        <v>0.99285714285714288</v>
      </c>
      <c r="BF8" s="610">
        <f t="shared" ref="BF8:BF20" si="5">E8/35.5</f>
        <v>1.9436619718309859E-4</v>
      </c>
      <c r="BG8" s="610">
        <f t="shared" ref="BG8:BG20" si="6">F8/62</f>
        <v>2.7419354838709681E-3</v>
      </c>
      <c r="BH8" s="610">
        <f t="shared" ref="BH8:BH20" si="7">G8/(96/2)</f>
        <v>2.2916666666666669E-2</v>
      </c>
      <c r="BI8" s="610">
        <f t="shared" ref="BI8:BI20" si="8">H8/23</f>
        <v>3.3478260869565218E-3</v>
      </c>
      <c r="BJ8" s="610">
        <f t="shared" ref="BJ8:BJ20" si="9">I8/18</f>
        <v>1.8333333333333333E-2</v>
      </c>
      <c r="BK8" s="610">
        <f t="shared" ref="BK8:BK20" si="10">J8/39</f>
        <v>1.435897435897436E-3</v>
      </c>
      <c r="BL8" s="610">
        <f t="shared" ref="BL8:BL20" si="11">K8/(24.3/2)</f>
        <v>9.0534979423868302E-4</v>
      </c>
      <c r="BM8" s="610">
        <f t="shared" ref="BM8:BM20" si="12">L8/(40/2)</f>
        <v>6.0000000000000001E-3</v>
      </c>
      <c r="BN8" s="563">
        <f t="shared" ref="BN8:BN20" si="13">SUM(BF8:BH8)*1000</f>
        <v>25.852968347720736</v>
      </c>
      <c r="BO8" s="563">
        <f t="shared" ref="BO8:BO20" si="14">SUM(BI8:BM8)*1000</f>
        <v>30.022406650425971</v>
      </c>
      <c r="BP8" s="611">
        <f t="shared" ref="BP8:BP20" si="15">BN8/BO8</f>
        <v>0.86112244926753478</v>
      </c>
      <c r="BR8" s="564">
        <f t="shared" ref="BR8:BR20" si="16">1.375*G8</f>
        <v>1.5125000000000002</v>
      </c>
      <c r="BS8" s="564">
        <f t="shared" ref="BS8:BS20" si="17">1.29*F8</f>
        <v>0.21930000000000002</v>
      </c>
      <c r="BT8" s="564">
        <f t="shared" ref="BT8:BT20" si="18">2.5*H8</f>
        <v>0.1925</v>
      </c>
      <c r="BU8" s="564">
        <f t="shared" ref="BU8:BU20" si="19">1.6*AZ8</f>
        <v>4.8000000000000007</v>
      </c>
      <c r="BV8" s="564">
        <f t="shared" ref="BV8:BV20" si="20">BA8</f>
        <v>1.4</v>
      </c>
      <c r="BW8" s="564">
        <f t="shared" ref="BW8:BW20" si="21">9.19/1000*N8</f>
        <v>0.51463999999999999</v>
      </c>
      <c r="BX8" s="564">
        <f t="shared" si="0"/>
        <v>0.11199999999999999</v>
      </c>
      <c r="BY8" s="564">
        <f t="shared" ref="BY8:BY20" si="22">W8/1000*1.38</f>
        <v>0.16559999999999997</v>
      </c>
      <c r="BZ8" s="564">
        <f t="shared" ref="BZ8:BZ20" si="23">S8/1000*1.67</f>
        <v>1.0520999999999999E-2</v>
      </c>
      <c r="CA8" s="564">
        <f t="shared" ref="CA8:CA20" si="24">SUM(BR8:BZ8)</f>
        <v>8.9270610000000019</v>
      </c>
      <c r="CB8" s="611">
        <f t="shared" ref="CB8:CB20" si="25">CA8/D8</f>
        <v>1.0755495180722894</v>
      </c>
      <c r="CD8" s="610">
        <f t="shared" ref="CD8:CD20" si="26">AZ8/(AZ8+BA8)</f>
        <v>0.68181818181818177</v>
      </c>
      <c r="CE8" s="610">
        <f t="shared" ref="CE8:CE20" si="27">BB8/AZ8</f>
        <v>0</v>
      </c>
      <c r="CF8" s="610">
        <f t="shared" si="1"/>
        <v>0.48000000000000004</v>
      </c>
      <c r="CG8" s="610">
        <f t="shared" si="2"/>
        <v>0.91</v>
      </c>
    </row>
    <row r="9" spans="2:85" ht="20.149999999999999" customHeight="1" x14ac:dyDescent="0.2">
      <c r="B9" s="31" t="s">
        <v>61</v>
      </c>
      <c r="C9" s="37" t="s">
        <v>200</v>
      </c>
      <c r="D9" s="210">
        <v>14.2</v>
      </c>
      <c r="E9" s="215">
        <v>0.01</v>
      </c>
      <c r="F9" s="212">
        <v>0.9</v>
      </c>
      <c r="G9" s="212">
        <v>3</v>
      </c>
      <c r="H9" s="213">
        <v>3.5999999999999997E-2</v>
      </c>
      <c r="I9" s="212">
        <v>1.3</v>
      </c>
      <c r="J9" s="212">
        <v>6.4000000000000001E-2</v>
      </c>
      <c r="K9" s="212">
        <v>7.3000000000000001E-3</v>
      </c>
      <c r="L9" s="214">
        <v>0.13</v>
      </c>
      <c r="M9" s="215">
        <v>40</v>
      </c>
      <c r="N9" s="212">
        <v>77</v>
      </c>
      <c r="O9" s="212">
        <v>100</v>
      </c>
      <c r="P9" s="212">
        <v>71</v>
      </c>
      <c r="Q9" s="212">
        <v>100</v>
      </c>
      <c r="R9" s="216" t="s">
        <v>217</v>
      </c>
      <c r="S9" s="212">
        <v>8.5</v>
      </c>
      <c r="T9" s="212">
        <v>1.5</v>
      </c>
      <c r="U9" s="216">
        <v>0.87</v>
      </c>
      <c r="V9" s="212">
        <v>5.3</v>
      </c>
      <c r="W9" s="212">
        <v>120</v>
      </c>
      <c r="X9" s="212">
        <v>0.05</v>
      </c>
      <c r="Y9" s="212">
        <v>0.68</v>
      </c>
      <c r="Z9" s="212">
        <v>6.7</v>
      </c>
      <c r="AA9" s="212">
        <v>23</v>
      </c>
      <c r="AB9" s="212">
        <v>0.45</v>
      </c>
      <c r="AC9" s="212">
        <v>1.1000000000000001</v>
      </c>
      <c r="AD9" s="216" t="s">
        <v>220</v>
      </c>
      <c r="AE9" s="212">
        <v>0.7</v>
      </c>
      <c r="AF9" s="212">
        <v>1.1000000000000001</v>
      </c>
      <c r="AG9" s="216">
        <v>1.2E-2</v>
      </c>
      <c r="AH9" s="212">
        <v>4.2</v>
      </c>
      <c r="AI9" s="212">
        <v>0.12</v>
      </c>
      <c r="AJ9" s="212">
        <v>0.19</v>
      </c>
      <c r="AK9" s="216" t="s">
        <v>222</v>
      </c>
      <c r="AL9" s="210">
        <v>6.7000000000000002E-3</v>
      </c>
      <c r="AM9" s="217">
        <v>0.18</v>
      </c>
      <c r="AN9" s="210" t="s">
        <v>224</v>
      </c>
      <c r="AO9" s="210" t="s">
        <v>225</v>
      </c>
      <c r="AP9" s="212">
        <v>3.4</v>
      </c>
      <c r="AQ9" s="214">
        <v>0.11</v>
      </c>
      <c r="AR9" s="215">
        <v>0.14000000000000001</v>
      </c>
      <c r="AS9" s="213">
        <v>1.1000000000000001</v>
      </c>
      <c r="AT9" s="213">
        <v>0.94</v>
      </c>
      <c r="AU9" s="213">
        <v>0.62</v>
      </c>
      <c r="AV9" s="213">
        <v>0.85</v>
      </c>
      <c r="AW9" s="212">
        <v>1.1000000000000001</v>
      </c>
      <c r="AX9" s="217">
        <v>1</v>
      </c>
      <c r="AY9" s="217">
        <v>0.11</v>
      </c>
      <c r="AZ9" s="219">
        <v>3.7</v>
      </c>
      <c r="BA9" s="219">
        <v>1.4</v>
      </c>
      <c r="BB9" s="391"/>
      <c r="BC9" s="619">
        <f t="shared" si="3"/>
        <v>0.98648648648648651</v>
      </c>
      <c r="BD9" s="610">
        <f t="shared" si="4"/>
        <v>0.97142857142857142</v>
      </c>
      <c r="BF9" s="610">
        <f t="shared" si="5"/>
        <v>2.8169014084507044E-4</v>
      </c>
      <c r="BG9" s="610">
        <f t="shared" si="6"/>
        <v>1.4516129032258065E-2</v>
      </c>
      <c r="BH9" s="610">
        <f t="shared" si="7"/>
        <v>6.25E-2</v>
      </c>
      <c r="BI9" s="610">
        <f t="shared" si="8"/>
        <v>1.5652173913043477E-3</v>
      </c>
      <c r="BJ9" s="610">
        <f t="shared" si="9"/>
        <v>7.2222222222222229E-2</v>
      </c>
      <c r="BK9" s="610">
        <f t="shared" si="10"/>
        <v>1.6410256410256412E-3</v>
      </c>
      <c r="BL9" s="610">
        <f t="shared" si="11"/>
        <v>6.0082304526748974E-4</v>
      </c>
      <c r="BM9" s="610">
        <f t="shared" si="12"/>
        <v>6.5000000000000006E-3</v>
      </c>
      <c r="BN9" s="563">
        <f t="shared" si="13"/>
        <v>77.297819173103136</v>
      </c>
      <c r="BO9" s="563">
        <f t="shared" si="14"/>
        <v>82.529288299819697</v>
      </c>
      <c r="BP9" s="611">
        <f t="shared" si="15"/>
        <v>0.93661075680537531</v>
      </c>
      <c r="BR9" s="564">
        <f t="shared" si="16"/>
        <v>4.125</v>
      </c>
      <c r="BS9" s="564">
        <f t="shared" si="17"/>
        <v>1.161</v>
      </c>
      <c r="BT9" s="564">
        <f t="shared" si="18"/>
        <v>0.09</v>
      </c>
      <c r="BU9" s="564">
        <f t="shared" si="19"/>
        <v>5.9200000000000008</v>
      </c>
      <c r="BV9" s="564">
        <f t="shared" si="20"/>
        <v>1.4</v>
      </c>
      <c r="BW9" s="564">
        <f t="shared" si="21"/>
        <v>0.70762999999999998</v>
      </c>
      <c r="BX9" s="564">
        <f t="shared" si="0"/>
        <v>0.13999999999999999</v>
      </c>
      <c r="BY9" s="564">
        <f t="shared" si="22"/>
        <v>0.16559999999999997</v>
      </c>
      <c r="BZ9" s="564">
        <f t="shared" si="23"/>
        <v>1.4195000000000001E-2</v>
      </c>
      <c r="CA9" s="564">
        <f t="shared" si="24"/>
        <v>13.723425000000001</v>
      </c>
      <c r="CB9" s="611">
        <f t="shared" si="25"/>
        <v>0.96643838028169027</v>
      </c>
      <c r="CD9" s="610">
        <f t="shared" si="26"/>
        <v>0.72549019607843146</v>
      </c>
      <c r="CE9" s="610">
        <f t="shared" si="27"/>
        <v>0</v>
      </c>
      <c r="CF9" s="610">
        <f t="shared" si="1"/>
        <v>0.25000000000000011</v>
      </c>
      <c r="CG9" s="610">
        <f t="shared" si="2"/>
        <v>1.1100000000000001</v>
      </c>
    </row>
    <row r="10" spans="2:85" ht="20.149999999999999" customHeight="1" x14ac:dyDescent="0.2">
      <c r="B10" s="31" t="s">
        <v>61</v>
      </c>
      <c r="C10" s="32" t="s">
        <v>82</v>
      </c>
      <c r="D10" s="210">
        <v>26.4</v>
      </c>
      <c r="E10" s="215">
        <v>1.7000000000000001E-2</v>
      </c>
      <c r="F10" s="212">
        <v>0.59</v>
      </c>
      <c r="G10" s="212">
        <v>6</v>
      </c>
      <c r="H10" s="213">
        <v>0.21</v>
      </c>
      <c r="I10" s="212">
        <v>1.9</v>
      </c>
      <c r="J10" s="212">
        <v>0.51</v>
      </c>
      <c r="K10" s="212">
        <v>6.5000000000000002E-2</v>
      </c>
      <c r="L10" s="214">
        <v>0.23</v>
      </c>
      <c r="M10" s="215">
        <v>210</v>
      </c>
      <c r="N10" s="212">
        <v>150</v>
      </c>
      <c r="O10" s="212">
        <v>170</v>
      </c>
      <c r="P10" s="212">
        <v>500</v>
      </c>
      <c r="Q10" s="212">
        <v>200</v>
      </c>
      <c r="R10" s="216" t="s">
        <v>217</v>
      </c>
      <c r="S10" s="212">
        <v>15</v>
      </c>
      <c r="T10" s="212">
        <v>17</v>
      </c>
      <c r="U10" s="216">
        <v>2</v>
      </c>
      <c r="V10" s="212">
        <v>9.9</v>
      </c>
      <c r="W10" s="212">
        <v>240</v>
      </c>
      <c r="X10" s="212">
        <v>0.12</v>
      </c>
      <c r="Y10" s="212">
        <v>5.8</v>
      </c>
      <c r="Z10" s="212">
        <v>15</v>
      </c>
      <c r="AA10" s="212">
        <v>52</v>
      </c>
      <c r="AB10" s="212">
        <v>1.2</v>
      </c>
      <c r="AC10" s="212">
        <v>1.5</v>
      </c>
      <c r="AD10" s="216">
        <v>0.31</v>
      </c>
      <c r="AE10" s="212">
        <v>1.6</v>
      </c>
      <c r="AF10" s="212">
        <v>4.5999999999999996</v>
      </c>
      <c r="AG10" s="212">
        <v>3.6999999999999998E-2</v>
      </c>
      <c r="AH10" s="212">
        <v>36</v>
      </c>
      <c r="AI10" s="212">
        <v>0.25</v>
      </c>
      <c r="AJ10" s="212">
        <v>0.35</v>
      </c>
      <c r="AK10" s="216" t="s">
        <v>222</v>
      </c>
      <c r="AL10" s="210">
        <v>0.01</v>
      </c>
      <c r="AM10" s="217">
        <v>0.56999999999999995</v>
      </c>
      <c r="AN10" s="210" t="s">
        <v>224</v>
      </c>
      <c r="AO10" s="210" t="s">
        <v>225</v>
      </c>
      <c r="AP10" s="212">
        <v>10</v>
      </c>
      <c r="AQ10" s="214">
        <v>0.2</v>
      </c>
      <c r="AR10" s="215">
        <v>7.0999999999999994E-2</v>
      </c>
      <c r="AS10" s="213">
        <v>2.6</v>
      </c>
      <c r="AT10" s="213">
        <v>1.8</v>
      </c>
      <c r="AU10" s="213">
        <v>1</v>
      </c>
      <c r="AV10" s="213">
        <v>1.8</v>
      </c>
      <c r="AW10" s="212">
        <v>2.8</v>
      </c>
      <c r="AX10" s="217">
        <v>0.64</v>
      </c>
      <c r="AY10" s="217">
        <v>5.6000000000000001E-2</v>
      </c>
      <c r="AZ10" s="219">
        <v>7.3</v>
      </c>
      <c r="BA10" s="219">
        <v>1.7</v>
      </c>
      <c r="BB10" s="391"/>
      <c r="BC10" s="619">
        <f t="shared" si="3"/>
        <v>0.99602739726027401</v>
      </c>
      <c r="BD10" s="610">
        <f t="shared" si="4"/>
        <v>0.99764705882352944</v>
      </c>
      <c r="BF10" s="610">
        <f t="shared" si="5"/>
        <v>4.7887323943661978E-4</v>
      </c>
      <c r="BG10" s="610">
        <f t="shared" si="6"/>
        <v>9.5161290322580642E-3</v>
      </c>
      <c r="BH10" s="610">
        <f t="shared" si="7"/>
        <v>0.125</v>
      </c>
      <c r="BI10" s="610">
        <f t="shared" si="8"/>
        <v>9.1304347826086946E-3</v>
      </c>
      <c r="BJ10" s="610">
        <f t="shared" si="9"/>
        <v>0.10555555555555556</v>
      </c>
      <c r="BK10" s="610">
        <f t="shared" si="10"/>
        <v>1.3076923076923078E-2</v>
      </c>
      <c r="BL10" s="610">
        <f t="shared" si="11"/>
        <v>5.3497942386831277E-3</v>
      </c>
      <c r="BM10" s="610">
        <f t="shared" si="12"/>
        <v>1.15E-2</v>
      </c>
      <c r="BN10" s="563">
        <f t="shared" si="13"/>
        <v>134.99500227169469</v>
      </c>
      <c r="BO10" s="563">
        <f t="shared" si="14"/>
        <v>144.61270765377046</v>
      </c>
      <c r="BP10" s="611">
        <f t="shared" si="15"/>
        <v>0.93349335934500077</v>
      </c>
      <c r="BR10" s="564">
        <f t="shared" si="16"/>
        <v>8.25</v>
      </c>
      <c r="BS10" s="564">
        <f t="shared" si="17"/>
        <v>0.7611</v>
      </c>
      <c r="BT10" s="564">
        <f t="shared" si="18"/>
        <v>0.52500000000000002</v>
      </c>
      <c r="BU10" s="564">
        <f t="shared" si="19"/>
        <v>11.68</v>
      </c>
      <c r="BV10" s="564">
        <f t="shared" si="20"/>
        <v>1.7</v>
      </c>
      <c r="BW10" s="564">
        <f t="shared" si="21"/>
        <v>1.3785000000000001</v>
      </c>
      <c r="BX10" s="564">
        <f t="shared" si="0"/>
        <v>0.27999999999999997</v>
      </c>
      <c r="BY10" s="564">
        <f t="shared" si="22"/>
        <v>0.33119999999999994</v>
      </c>
      <c r="BZ10" s="564">
        <f t="shared" si="23"/>
        <v>2.5049999999999999E-2</v>
      </c>
      <c r="CA10" s="564">
        <f t="shared" si="24"/>
        <v>24.93085</v>
      </c>
      <c r="CB10" s="611">
        <f t="shared" si="25"/>
        <v>0.94435037878787886</v>
      </c>
      <c r="CD10" s="610">
        <f t="shared" si="26"/>
        <v>0.81111111111111112</v>
      </c>
      <c r="CE10" s="610">
        <f t="shared" si="27"/>
        <v>0</v>
      </c>
      <c r="CF10" s="610">
        <f t="shared" si="1"/>
        <v>0.99999999999999978</v>
      </c>
      <c r="CG10" s="610">
        <f t="shared" si="2"/>
        <v>0.69600000000000006</v>
      </c>
    </row>
    <row r="11" spans="2:85" ht="20.149999999999999" customHeight="1" thickBot="1" x14ac:dyDescent="0.25">
      <c r="B11" s="39" t="s">
        <v>61</v>
      </c>
      <c r="C11" s="40" t="s">
        <v>201</v>
      </c>
      <c r="D11" s="220">
        <v>30.5</v>
      </c>
      <c r="E11" s="221">
        <v>1.4999999999999999E-2</v>
      </c>
      <c r="F11" s="222">
        <v>0.28999999999999998</v>
      </c>
      <c r="G11" s="222">
        <v>8.5</v>
      </c>
      <c r="H11" s="223">
        <v>0.14000000000000001</v>
      </c>
      <c r="I11" s="222">
        <v>3.1</v>
      </c>
      <c r="J11" s="222">
        <v>0.13</v>
      </c>
      <c r="K11" s="222">
        <v>2.4E-2</v>
      </c>
      <c r="L11" s="224">
        <v>8.2000000000000003E-2</v>
      </c>
      <c r="M11" s="221">
        <v>160</v>
      </c>
      <c r="N11" s="222">
        <v>55</v>
      </c>
      <c r="O11" s="222">
        <v>76</v>
      </c>
      <c r="P11" s="222">
        <v>170</v>
      </c>
      <c r="Q11" s="222">
        <v>52</v>
      </c>
      <c r="R11" s="225" t="s">
        <v>217</v>
      </c>
      <c r="S11" s="222">
        <v>5.8</v>
      </c>
      <c r="T11" s="222">
        <v>8.9</v>
      </c>
      <c r="U11" s="222">
        <v>2.7</v>
      </c>
      <c r="V11" s="222">
        <v>6</v>
      </c>
      <c r="W11" s="222">
        <v>160</v>
      </c>
      <c r="X11" s="222">
        <v>6.8000000000000005E-2</v>
      </c>
      <c r="Y11" s="222">
        <v>3.4</v>
      </c>
      <c r="Z11" s="222">
        <v>5.5</v>
      </c>
      <c r="AA11" s="222">
        <v>39</v>
      </c>
      <c r="AB11" s="222">
        <v>0.57999999999999996</v>
      </c>
      <c r="AC11" s="222">
        <v>1.6</v>
      </c>
      <c r="AD11" s="225">
        <v>0.22</v>
      </c>
      <c r="AE11" s="222">
        <v>1.3</v>
      </c>
      <c r="AF11" s="222">
        <v>1.4</v>
      </c>
      <c r="AG11" s="222">
        <v>4.1000000000000002E-2</v>
      </c>
      <c r="AH11" s="222">
        <v>8.9</v>
      </c>
      <c r="AI11" s="222">
        <v>0.34</v>
      </c>
      <c r="AJ11" s="222">
        <v>0.22</v>
      </c>
      <c r="AK11" s="225" t="s">
        <v>222</v>
      </c>
      <c r="AL11" s="220">
        <v>8.3000000000000001E-3</v>
      </c>
      <c r="AM11" s="226">
        <v>0.48</v>
      </c>
      <c r="AN11" s="220" t="s">
        <v>224</v>
      </c>
      <c r="AO11" s="220" t="s">
        <v>225</v>
      </c>
      <c r="AP11" s="222">
        <v>7</v>
      </c>
      <c r="AQ11" s="227">
        <v>0.16</v>
      </c>
      <c r="AR11" s="221">
        <v>0.1</v>
      </c>
      <c r="AS11" s="223">
        <v>2.6</v>
      </c>
      <c r="AT11" s="223">
        <v>1.3</v>
      </c>
      <c r="AU11" s="223">
        <v>0.94</v>
      </c>
      <c r="AV11" s="223">
        <v>2.4</v>
      </c>
      <c r="AW11" s="222">
        <v>3.2</v>
      </c>
      <c r="AX11" s="226">
        <v>0.98</v>
      </c>
      <c r="AY11" s="226">
        <v>0.11</v>
      </c>
      <c r="AZ11" s="228">
        <v>7.3</v>
      </c>
      <c r="BA11" s="228">
        <v>1.9</v>
      </c>
      <c r="BB11" s="403"/>
      <c r="BC11" s="620">
        <f t="shared" si="3"/>
        <v>1.0054794520547945</v>
      </c>
      <c r="BD11" s="617">
        <f t="shared" si="4"/>
        <v>0.99473684210526325</v>
      </c>
      <c r="BE11" s="616"/>
      <c r="BF11" s="617">
        <f t="shared" si="5"/>
        <v>4.225352112676056E-4</v>
      </c>
      <c r="BG11" s="617">
        <f t="shared" si="6"/>
        <v>4.6774193548387091E-3</v>
      </c>
      <c r="BH11" s="617">
        <f t="shared" si="7"/>
        <v>0.17708333333333334</v>
      </c>
      <c r="BI11" s="617">
        <f t="shared" si="8"/>
        <v>6.0869565217391312E-3</v>
      </c>
      <c r="BJ11" s="617">
        <f t="shared" si="9"/>
        <v>0.17222222222222222</v>
      </c>
      <c r="BK11" s="617">
        <f t="shared" si="10"/>
        <v>3.3333333333333335E-3</v>
      </c>
      <c r="BL11" s="617">
        <f t="shared" si="11"/>
        <v>1.9753086419753087E-3</v>
      </c>
      <c r="BM11" s="617">
        <f t="shared" si="12"/>
        <v>4.1000000000000003E-3</v>
      </c>
      <c r="BN11" s="621">
        <f t="shared" si="13"/>
        <v>182.18328789943965</v>
      </c>
      <c r="BO11" s="621">
        <f t="shared" si="14"/>
        <v>187.71782071926998</v>
      </c>
      <c r="BP11" s="618">
        <f t="shared" si="15"/>
        <v>0.97051674263730581</v>
      </c>
      <c r="BQ11" s="616"/>
      <c r="BR11" s="615">
        <f t="shared" si="16"/>
        <v>11.6875</v>
      </c>
      <c r="BS11" s="615">
        <f t="shared" si="17"/>
        <v>0.37409999999999999</v>
      </c>
      <c r="BT11" s="615">
        <f t="shared" si="18"/>
        <v>0.35000000000000003</v>
      </c>
      <c r="BU11" s="615">
        <f t="shared" si="19"/>
        <v>11.68</v>
      </c>
      <c r="BV11" s="615">
        <f t="shared" si="20"/>
        <v>1.9</v>
      </c>
      <c r="BW11" s="615">
        <f t="shared" si="21"/>
        <v>0.50545000000000007</v>
      </c>
      <c r="BX11" s="615">
        <f t="shared" si="0"/>
        <v>7.279999999999999E-2</v>
      </c>
      <c r="BY11" s="615">
        <f t="shared" si="22"/>
        <v>0.2208</v>
      </c>
      <c r="BZ11" s="615">
        <f t="shared" si="23"/>
        <v>9.6859999999999984E-3</v>
      </c>
      <c r="CA11" s="615">
        <f t="shared" si="24"/>
        <v>26.800335999999998</v>
      </c>
      <c r="CB11" s="618">
        <f t="shared" si="25"/>
        <v>0.87869954098360648</v>
      </c>
      <c r="CC11" s="617"/>
      <c r="CD11" s="617">
        <f t="shared" si="26"/>
        <v>0.7934782608695653</v>
      </c>
      <c r="CE11" s="617">
        <f t="shared" si="27"/>
        <v>0</v>
      </c>
      <c r="CF11" s="617">
        <f t="shared" si="1"/>
        <v>0.80000000000000027</v>
      </c>
      <c r="CG11" s="617">
        <f t="shared" si="2"/>
        <v>1.0900000000000001</v>
      </c>
    </row>
    <row r="12" spans="2:85" ht="20.149999999999999" customHeight="1" x14ac:dyDescent="0.2">
      <c r="B12" s="31" t="s">
        <v>202</v>
      </c>
      <c r="C12" s="46" t="s">
        <v>203</v>
      </c>
      <c r="D12" s="229">
        <v>21.7</v>
      </c>
      <c r="E12" s="230">
        <v>7.0999999999999994E-2</v>
      </c>
      <c r="F12" s="231">
        <v>0.46</v>
      </c>
      <c r="G12" s="231">
        <v>6.7</v>
      </c>
      <c r="H12" s="232">
        <v>0.26</v>
      </c>
      <c r="I12" s="231">
        <v>2.2999999999999998</v>
      </c>
      <c r="J12" s="231">
        <v>0.1</v>
      </c>
      <c r="K12" s="231">
        <v>3.5999999999999997E-2</v>
      </c>
      <c r="L12" s="233">
        <v>0.1</v>
      </c>
      <c r="M12" s="230">
        <v>270</v>
      </c>
      <c r="N12" s="231">
        <v>54</v>
      </c>
      <c r="O12" s="231">
        <v>88</v>
      </c>
      <c r="P12" s="231">
        <v>110</v>
      </c>
      <c r="Q12" s="231">
        <v>60</v>
      </c>
      <c r="R12" s="647">
        <f t="shared" ref="R12:R18" si="28">0.5*0.18</f>
        <v>0.09</v>
      </c>
      <c r="S12" s="231">
        <v>5.8</v>
      </c>
      <c r="T12" s="231">
        <v>8.6999999999999993</v>
      </c>
      <c r="U12" s="234">
        <v>1.4</v>
      </c>
      <c r="V12" s="231">
        <v>5.8</v>
      </c>
      <c r="W12" s="231">
        <v>130</v>
      </c>
      <c r="X12" s="231">
        <v>5.0999999999999997E-2</v>
      </c>
      <c r="Y12" s="231">
        <v>3</v>
      </c>
      <c r="Z12" s="231">
        <v>3.9</v>
      </c>
      <c r="AA12" s="231">
        <v>26</v>
      </c>
      <c r="AB12" s="231">
        <v>0.52</v>
      </c>
      <c r="AC12" s="231">
        <v>1.2</v>
      </c>
      <c r="AD12" s="234">
        <v>0.2</v>
      </c>
      <c r="AE12" s="231">
        <v>0.94</v>
      </c>
      <c r="AF12" s="231">
        <v>0.94</v>
      </c>
      <c r="AG12" s="231">
        <v>2.8000000000000001E-2</v>
      </c>
      <c r="AH12" s="231">
        <v>6.1</v>
      </c>
      <c r="AI12" s="231">
        <v>0.16</v>
      </c>
      <c r="AJ12" s="231">
        <v>0.14000000000000001</v>
      </c>
      <c r="AK12" s="647">
        <f t="shared" ref="AK12:AK18" si="29">0.5*0.013</f>
        <v>6.4999999999999997E-3</v>
      </c>
      <c r="AL12" s="229">
        <v>7.1999999999999998E-3</v>
      </c>
      <c r="AM12" s="235">
        <v>0.35</v>
      </c>
      <c r="AN12" s="229">
        <v>2.8E-3</v>
      </c>
      <c r="AO12" s="651">
        <f t="shared" ref="AO12:AO17" si="30">0.5*0.0082</f>
        <v>4.1000000000000003E-3</v>
      </c>
      <c r="AP12" s="231">
        <v>5.5</v>
      </c>
      <c r="AQ12" s="236">
        <v>0.11</v>
      </c>
      <c r="AR12" s="230">
        <v>6.6000000000000003E-2</v>
      </c>
      <c r="AS12" s="232">
        <v>1.9</v>
      </c>
      <c r="AT12" s="232">
        <v>1.1000000000000001</v>
      </c>
      <c r="AU12" s="232">
        <v>0.74</v>
      </c>
      <c r="AV12" s="232">
        <v>1.6</v>
      </c>
      <c r="AW12" s="231">
        <v>2.1</v>
      </c>
      <c r="AX12" s="235">
        <v>0.94</v>
      </c>
      <c r="AY12" s="235">
        <v>8.1000000000000003E-2</v>
      </c>
      <c r="AZ12" s="237">
        <v>5.4</v>
      </c>
      <c r="BA12" s="237">
        <v>1.5</v>
      </c>
      <c r="BB12" s="395"/>
      <c r="BC12" s="619">
        <f t="shared" si="3"/>
        <v>1.0011111111111111</v>
      </c>
      <c r="BD12" s="610">
        <f t="shared" si="4"/>
        <v>1.014</v>
      </c>
      <c r="BF12" s="610">
        <f t="shared" si="5"/>
        <v>1.9999999999999996E-3</v>
      </c>
      <c r="BG12" s="610">
        <f t="shared" si="6"/>
        <v>7.4193548387096776E-3</v>
      </c>
      <c r="BH12" s="610">
        <f t="shared" si="7"/>
        <v>0.13958333333333334</v>
      </c>
      <c r="BI12" s="610">
        <f t="shared" si="8"/>
        <v>1.1304347826086957E-2</v>
      </c>
      <c r="BJ12" s="610">
        <f t="shared" si="9"/>
        <v>0.12777777777777777</v>
      </c>
      <c r="BK12" s="610">
        <f t="shared" si="10"/>
        <v>2.5641025641025641E-3</v>
      </c>
      <c r="BL12" s="610">
        <f t="shared" si="11"/>
        <v>2.9629629629629628E-3</v>
      </c>
      <c r="BM12" s="610">
        <f t="shared" si="12"/>
        <v>5.0000000000000001E-3</v>
      </c>
      <c r="BN12" s="563">
        <f t="shared" si="13"/>
        <v>149.00268817204301</v>
      </c>
      <c r="BO12" s="563">
        <f t="shared" si="14"/>
        <v>149.60919113093027</v>
      </c>
      <c r="BP12" s="611">
        <f t="shared" si="15"/>
        <v>0.99594608490091707</v>
      </c>
      <c r="BR12" s="564">
        <f t="shared" si="16"/>
        <v>9.2125000000000004</v>
      </c>
      <c r="BS12" s="564">
        <f t="shared" si="17"/>
        <v>0.59340000000000004</v>
      </c>
      <c r="BT12" s="564">
        <f t="shared" si="18"/>
        <v>0.65</v>
      </c>
      <c r="BU12" s="564">
        <f t="shared" si="19"/>
        <v>8.64</v>
      </c>
      <c r="BV12" s="564">
        <f t="shared" si="20"/>
        <v>1.5</v>
      </c>
      <c r="BW12" s="564">
        <f t="shared" si="21"/>
        <v>0.49626000000000003</v>
      </c>
      <c r="BX12" s="564">
        <f t="shared" si="0"/>
        <v>8.3999999999999991E-2</v>
      </c>
      <c r="BY12" s="564">
        <f t="shared" si="22"/>
        <v>0.1794</v>
      </c>
      <c r="BZ12" s="564">
        <f t="shared" si="23"/>
        <v>9.6859999999999984E-3</v>
      </c>
      <c r="CA12" s="564">
        <f t="shared" si="24"/>
        <v>21.365245999999999</v>
      </c>
      <c r="CB12" s="611">
        <f t="shared" si="25"/>
        <v>0.98457354838709676</v>
      </c>
      <c r="CC12" s="610"/>
      <c r="CD12" s="610">
        <f t="shared" si="26"/>
        <v>0.78260869565217395</v>
      </c>
      <c r="CE12" s="610">
        <f t="shared" si="27"/>
        <v>0</v>
      </c>
      <c r="CF12" s="610">
        <f t="shared" si="1"/>
        <v>0.5</v>
      </c>
      <c r="CG12" s="610">
        <f t="shared" si="2"/>
        <v>1.0209999999999999</v>
      </c>
    </row>
    <row r="13" spans="2:85" ht="20.149999999999999" customHeight="1" x14ac:dyDescent="0.2">
      <c r="B13" s="31" t="s">
        <v>202</v>
      </c>
      <c r="C13" s="40" t="s">
        <v>204</v>
      </c>
      <c r="D13" s="210">
        <v>26.5</v>
      </c>
      <c r="E13" s="211">
        <v>7.1999999999999998E-3</v>
      </c>
      <c r="F13" s="212">
        <v>0.16</v>
      </c>
      <c r="G13" s="212">
        <v>9</v>
      </c>
      <c r="H13" s="213">
        <v>0.14000000000000001</v>
      </c>
      <c r="I13" s="212">
        <v>3.2</v>
      </c>
      <c r="J13" s="212">
        <v>8.5999999999999993E-2</v>
      </c>
      <c r="K13" s="212">
        <v>1.9E-2</v>
      </c>
      <c r="L13" s="238">
        <v>0.08</v>
      </c>
      <c r="M13" s="215">
        <v>140</v>
      </c>
      <c r="N13" s="212">
        <v>61</v>
      </c>
      <c r="O13" s="212">
        <v>100</v>
      </c>
      <c r="P13" s="212">
        <v>100</v>
      </c>
      <c r="Q13" s="212">
        <v>77</v>
      </c>
      <c r="R13" s="648">
        <f t="shared" si="28"/>
        <v>0.09</v>
      </c>
      <c r="S13" s="212">
        <v>8</v>
      </c>
      <c r="T13" s="212">
        <v>5.4</v>
      </c>
      <c r="U13" s="216">
        <v>1.5</v>
      </c>
      <c r="V13" s="212">
        <v>5.4</v>
      </c>
      <c r="W13" s="212">
        <v>120</v>
      </c>
      <c r="X13" s="212">
        <v>5.5E-2</v>
      </c>
      <c r="Y13" s="212">
        <v>2.2000000000000002</v>
      </c>
      <c r="Z13" s="212">
        <v>4.4000000000000004</v>
      </c>
      <c r="AA13" s="212">
        <v>37</v>
      </c>
      <c r="AB13" s="212">
        <v>1.1000000000000001</v>
      </c>
      <c r="AC13" s="212">
        <v>1.2</v>
      </c>
      <c r="AD13" s="216">
        <v>0.19</v>
      </c>
      <c r="AE13" s="212">
        <v>0.88</v>
      </c>
      <c r="AF13" s="212">
        <v>1.3</v>
      </c>
      <c r="AG13" s="212">
        <v>3.2000000000000001E-2</v>
      </c>
      <c r="AH13" s="212">
        <v>3.9</v>
      </c>
      <c r="AI13" s="212">
        <v>0.21</v>
      </c>
      <c r="AJ13" s="212">
        <v>0.17</v>
      </c>
      <c r="AK13" s="648">
        <f t="shared" si="29"/>
        <v>6.4999999999999997E-3</v>
      </c>
      <c r="AL13" s="210">
        <v>6.7000000000000002E-3</v>
      </c>
      <c r="AM13" s="217">
        <v>0.21</v>
      </c>
      <c r="AN13" s="650">
        <f>0.5*0.0022</f>
        <v>1.1000000000000001E-3</v>
      </c>
      <c r="AO13" s="650">
        <f t="shared" si="30"/>
        <v>4.1000000000000003E-3</v>
      </c>
      <c r="AP13" s="212">
        <v>5.8</v>
      </c>
      <c r="AQ13" s="214">
        <v>0.24</v>
      </c>
      <c r="AR13" s="215">
        <v>6.6000000000000003E-2</v>
      </c>
      <c r="AS13" s="213">
        <v>2</v>
      </c>
      <c r="AT13" s="213">
        <v>0.96</v>
      </c>
      <c r="AU13" s="213">
        <v>0.73</v>
      </c>
      <c r="AV13" s="213">
        <v>1.9</v>
      </c>
      <c r="AW13" s="212">
        <v>2.2999999999999998</v>
      </c>
      <c r="AX13" s="217">
        <v>1.2</v>
      </c>
      <c r="AY13" s="217">
        <v>0.12</v>
      </c>
      <c r="AZ13" s="219">
        <v>5.7</v>
      </c>
      <c r="BA13" s="219">
        <v>1.7</v>
      </c>
      <c r="BB13" s="391"/>
      <c r="BC13" s="619">
        <f t="shared" si="3"/>
        <v>0.99228070175438587</v>
      </c>
      <c r="BD13" s="610">
        <f t="shared" si="4"/>
        <v>1.0117647058823531</v>
      </c>
      <c r="BF13" s="610">
        <f t="shared" si="5"/>
        <v>2.0281690140845071E-4</v>
      </c>
      <c r="BG13" s="610">
        <f t="shared" si="6"/>
        <v>2.5806451612903226E-3</v>
      </c>
      <c r="BH13" s="610">
        <f t="shared" si="7"/>
        <v>0.1875</v>
      </c>
      <c r="BI13" s="610">
        <f t="shared" si="8"/>
        <v>6.0869565217391312E-3</v>
      </c>
      <c r="BJ13" s="610">
        <f t="shared" si="9"/>
        <v>0.17777777777777778</v>
      </c>
      <c r="BK13" s="610">
        <f t="shared" si="10"/>
        <v>2.205128205128205E-3</v>
      </c>
      <c r="BL13" s="610">
        <f t="shared" si="11"/>
        <v>1.5637860082304525E-3</v>
      </c>
      <c r="BM13" s="610">
        <f t="shared" si="12"/>
        <v>4.0000000000000001E-3</v>
      </c>
      <c r="BN13" s="563">
        <f t="shared" si="13"/>
        <v>190.28346206269879</v>
      </c>
      <c r="BO13" s="563">
        <f t="shared" si="14"/>
        <v>191.63364851287557</v>
      </c>
      <c r="BP13" s="611">
        <f t="shared" si="15"/>
        <v>0.99295433520858911</v>
      </c>
      <c r="BR13" s="564">
        <f t="shared" si="16"/>
        <v>12.375</v>
      </c>
      <c r="BS13" s="564">
        <f t="shared" si="17"/>
        <v>0.2064</v>
      </c>
      <c r="BT13" s="564">
        <f t="shared" si="18"/>
        <v>0.35000000000000003</v>
      </c>
      <c r="BU13" s="564">
        <f t="shared" si="19"/>
        <v>9.120000000000001</v>
      </c>
      <c r="BV13" s="564">
        <f t="shared" si="20"/>
        <v>1.7</v>
      </c>
      <c r="BW13" s="564">
        <f t="shared" si="21"/>
        <v>0.56059000000000003</v>
      </c>
      <c r="BX13" s="564">
        <f t="shared" si="0"/>
        <v>0.10779999999999999</v>
      </c>
      <c r="BY13" s="564">
        <f t="shared" si="22"/>
        <v>0.16559999999999997</v>
      </c>
      <c r="BZ13" s="564">
        <f t="shared" si="23"/>
        <v>1.336E-2</v>
      </c>
      <c r="CA13" s="564">
        <f t="shared" si="24"/>
        <v>24.598750000000003</v>
      </c>
      <c r="CB13" s="611">
        <f t="shared" si="25"/>
        <v>0.92825471698113216</v>
      </c>
      <c r="CC13" s="610"/>
      <c r="CD13" s="610">
        <f t="shared" si="26"/>
        <v>0.77027027027027029</v>
      </c>
      <c r="CE13" s="610">
        <f t="shared" si="27"/>
        <v>0</v>
      </c>
      <c r="CF13" s="610">
        <f t="shared" ref="CF13:CF20" si="31">IF(AW13-AV13&gt;0,AW13-AV13,0)</f>
        <v>0.39999999999999991</v>
      </c>
      <c r="CG13" s="610">
        <f t="shared" ref="CG13:CG20" si="32">IF(AW13-AV13&gt;0,AX13+AY13,AW13+AX13+AY13-AV13)</f>
        <v>1.3199999999999998</v>
      </c>
    </row>
    <row r="14" spans="2:85" ht="20.149999999999999" customHeight="1" x14ac:dyDescent="0.2">
      <c r="B14" s="31" t="s">
        <v>202</v>
      </c>
      <c r="C14" s="32" t="s">
        <v>205</v>
      </c>
      <c r="D14" s="210">
        <v>19.7</v>
      </c>
      <c r="E14" s="211">
        <v>8.0999999999999996E-3</v>
      </c>
      <c r="F14" s="212">
        <v>0.22</v>
      </c>
      <c r="G14" s="212">
        <v>5.9</v>
      </c>
      <c r="H14" s="213">
        <v>0.14000000000000001</v>
      </c>
      <c r="I14" s="212">
        <v>2.1</v>
      </c>
      <c r="J14" s="212">
        <v>9.5000000000000001E-2</v>
      </c>
      <c r="K14" s="212">
        <v>1.6E-2</v>
      </c>
      <c r="L14" s="238">
        <v>0.06</v>
      </c>
      <c r="M14" s="215">
        <v>140</v>
      </c>
      <c r="N14" s="212">
        <v>60</v>
      </c>
      <c r="O14" s="212">
        <v>110</v>
      </c>
      <c r="P14" s="212">
        <v>110</v>
      </c>
      <c r="Q14" s="212">
        <v>53</v>
      </c>
      <c r="R14" s="648">
        <f t="shared" si="28"/>
        <v>0.09</v>
      </c>
      <c r="S14" s="212">
        <v>6.3</v>
      </c>
      <c r="T14" s="212">
        <v>4.8</v>
      </c>
      <c r="U14" s="216">
        <v>1.6</v>
      </c>
      <c r="V14" s="212">
        <v>5.8</v>
      </c>
      <c r="W14" s="212">
        <v>120</v>
      </c>
      <c r="X14" s="212">
        <v>4.7E-2</v>
      </c>
      <c r="Y14" s="212">
        <v>2.2999999999999998</v>
      </c>
      <c r="Z14" s="212">
        <v>4.0999999999999996</v>
      </c>
      <c r="AA14" s="212">
        <v>39</v>
      </c>
      <c r="AB14" s="212">
        <v>0.77</v>
      </c>
      <c r="AC14" s="212">
        <v>0.85</v>
      </c>
      <c r="AD14" s="216">
        <v>0.21</v>
      </c>
      <c r="AE14" s="212">
        <v>0.71</v>
      </c>
      <c r="AF14" s="212">
        <v>1.5</v>
      </c>
      <c r="AG14" s="216">
        <v>2.7E-2</v>
      </c>
      <c r="AH14" s="212">
        <v>4.2</v>
      </c>
      <c r="AI14" s="212">
        <v>0.16</v>
      </c>
      <c r="AJ14" s="212">
        <v>0.17</v>
      </c>
      <c r="AK14" s="648">
        <f t="shared" si="29"/>
        <v>6.4999999999999997E-3</v>
      </c>
      <c r="AL14" s="650">
        <f>0.5*0.0066</f>
        <v>3.3E-3</v>
      </c>
      <c r="AM14" s="217">
        <v>0.24</v>
      </c>
      <c r="AN14" s="650">
        <f>0.5*0.0022</f>
        <v>1.1000000000000001E-3</v>
      </c>
      <c r="AO14" s="650">
        <f t="shared" si="30"/>
        <v>4.1000000000000003E-3</v>
      </c>
      <c r="AP14" s="212">
        <v>6.1</v>
      </c>
      <c r="AQ14" s="214">
        <v>0.17</v>
      </c>
      <c r="AR14" s="215">
        <v>7.5999999999999998E-2</v>
      </c>
      <c r="AS14" s="213">
        <v>1.7</v>
      </c>
      <c r="AT14" s="213">
        <v>0.95</v>
      </c>
      <c r="AU14" s="213">
        <v>0.63</v>
      </c>
      <c r="AV14" s="213">
        <v>1.3</v>
      </c>
      <c r="AW14" s="212">
        <v>1.7</v>
      </c>
      <c r="AX14" s="217">
        <v>1.2</v>
      </c>
      <c r="AY14" s="217">
        <v>9.5000000000000001E-2</v>
      </c>
      <c r="AZ14" s="219">
        <v>4.7</v>
      </c>
      <c r="BA14" s="219">
        <v>1.7</v>
      </c>
      <c r="BB14" s="391"/>
      <c r="BC14" s="619">
        <f t="shared" si="3"/>
        <v>0.99063829787234037</v>
      </c>
      <c r="BD14" s="610">
        <f t="shared" si="4"/>
        <v>0.99705882352941178</v>
      </c>
      <c r="BF14" s="610">
        <f t="shared" si="5"/>
        <v>2.2816901408450704E-4</v>
      </c>
      <c r="BG14" s="610">
        <f t="shared" si="6"/>
        <v>3.5483870967741938E-3</v>
      </c>
      <c r="BH14" s="610">
        <f t="shared" si="7"/>
        <v>0.12291666666666667</v>
      </c>
      <c r="BI14" s="610">
        <f t="shared" si="8"/>
        <v>6.0869565217391312E-3</v>
      </c>
      <c r="BJ14" s="610">
        <f t="shared" si="9"/>
        <v>0.11666666666666667</v>
      </c>
      <c r="BK14" s="610">
        <f t="shared" si="10"/>
        <v>2.435897435897436E-3</v>
      </c>
      <c r="BL14" s="610">
        <f t="shared" si="11"/>
        <v>1.316872427983539E-3</v>
      </c>
      <c r="BM14" s="610">
        <f t="shared" si="12"/>
        <v>3.0000000000000001E-3</v>
      </c>
      <c r="BN14" s="563">
        <f t="shared" si="13"/>
        <v>126.69322277752538</v>
      </c>
      <c r="BO14" s="563">
        <f t="shared" si="14"/>
        <v>129.5063930522868</v>
      </c>
      <c r="BP14" s="611">
        <f t="shared" si="15"/>
        <v>0.97827774978162174</v>
      </c>
      <c r="BR14" s="564">
        <f t="shared" si="16"/>
        <v>8.1125000000000007</v>
      </c>
      <c r="BS14" s="564">
        <f t="shared" si="17"/>
        <v>0.2838</v>
      </c>
      <c r="BT14" s="564">
        <f t="shared" si="18"/>
        <v>0.35000000000000003</v>
      </c>
      <c r="BU14" s="564">
        <f t="shared" si="19"/>
        <v>7.5200000000000005</v>
      </c>
      <c r="BV14" s="564">
        <f t="shared" si="20"/>
        <v>1.7</v>
      </c>
      <c r="BW14" s="564">
        <f t="shared" si="21"/>
        <v>0.5514</v>
      </c>
      <c r="BX14" s="564">
        <f t="shared" si="0"/>
        <v>7.4199999999999988E-2</v>
      </c>
      <c r="BY14" s="564">
        <f t="shared" si="22"/>
        <v>0.16559999999999997</v>
      </c>
      <c r="BZ14" s="564">
        <f t="shared" si="23"/>
        <v>1.0520999999999999E-2</v>
      </c>
      <c r="CA14" s="564">
        <f t="shared" si="24"/>
        <v>18.768021000000005</v>
      </c>
      <c r="CB14" s="611">
        <f t="shared" si="25"/>
        <v>0.95269142131979723</v>
      </c>
      <c r="CC14" s="610"/>
      <c r="CD14" s="610">
        <f t="shared" si="26"/>
        <v>0.734375</v>
      </c>
      <c r="CE14" s="610">
        <f t="shared" si="27"/>
        <v>0</v>
      </c>
      <c r="CF14" s="610">
        <f t="shared" si="31"/>
        <v>0.39999999999999991</v>
      </c>
      <c r="CG14" s="610">
        <f t="shared" si="32"/>
        <v>1.2949999999999999</v>
      </c>
    </row>
    <row r="15" spans="2:85" ht="20.149999999999999" customHeight="1" x14ac:dyDescent="0.2">
      <c r="B15" s="31" t="s">
        <v>202</v>
      </c>
      <c r="C15" s="32" t="s">
        <v>206</v>
      </c>
      <c r="D15" s="210">
        <v>24.9</v>
      </c>
      <c r="E15" s="215">
        <v>1.7999999999999999E-2</v>
      </c>
      <c r="F15" s="212">
        <v>0.7</v>
      </c>
      <c r="G15" s="212">
        <v>7.9</v>
      </c>
      <c r="H15" s="213">
        <v>0.11</v>
      </c>
      <c r="I15" s="212">
        <v>2.8</v>
      </c>
      <c r="J15" s="212">
        <v>0.13</v>
      </c>
      <c r="K15" s="212">
        <v>1.6E-2</v>
      </c>
      <c r="L15" s="214">
        <v>0.14000000000000001</v>
      </c>
      <c r="M15" s="215">
        <v>110</v>
      </c>
      <c r="N15" s="212">
        <v>120</v>
      </c>
      <c r="O15" s="212">
        <v>200</v>
      </c>
      <c r="P15" s="212">
        <v>150</v>
      </c>
      <c r="Q15" s="212">
        <v>150</v>
      </c>
      <c r="R15" s="648">
        <f t="shared" si="28"/>
        <v>0.09</v>
      </c>
      <c r="S15" s="212">
        <v>14</v>
      </c>
      <c r="T15" s="212">
        <v>7.2</v>
      </c>
      <c r="U15" s="216">
        <v>1.9</v>
      </c>
      <c r="V15" s="212">
        <v>8.5</v>
      </c>
      <c r="W15" s="212">
        <v>220</v>
      </c>
      <c r="X15" s="212">
        <v>9.9000000000000005E-2</v>
      </c>
      <c r="Y15" s="212">
        <v>3.1</v>
      </c>
      <c r="Z15" s="212">
        <v>7.6</v>
      </c>
      <c r="AA15" s="212">
        <v>44</v>
      </c>
      <c r="AB15" s="212">
        <v>0.7</v>
      </c>
      <c r="AC15" s="212">
        <v>1.1000000000000001</v>
      </c>
      <c r="AD15" s="216">
        <v>0.27</v>
      </c>
      <c r="AE15" s="212">
        <v>0.89</v>
      </c>
      <c r="AF15" s="212">
        <v>1.7</v>
      </c>
      <c r="AG15" s="212">
        <v>3.1E-2</v>
      </c>
      <c r="AH15" s="212">
        <v>5.5</v>
      </c>
      <c r="AI15" s="212">
        <v>0.23</v>
      </c>
      <c r="AJ15" s="212">
        <v>0.27</v>
      </c>
      <c r="AK15" s="648">
        <f t="shared" si="29"/>
        <v>6.4999999999999997E-3</v>
      </c>
      <c r="AL15" s="210">
        <v>0.01</v>
      </c>
      <c r="AM15" s="217">
        <v>0.28000000000000003</v>
      </c>
      <c r="AN15" s="650">
        <f>0.5*0.0022</f>
        <v>1.1000000000000001E-3</v>
      </c>
      <c r="AO15" s="650">
        <f t="shared" si="30"/>
        <v>4.1000000000000003E-3</v>
      </c>
      <c r="AP15" s="212">
        <v>6.9</v>
      </c>
      <c r="AQ15" s="214">
        <v>0.2</v>
      </c>
      <c r="AR15" s="215">
        <v>0.17</v>
      </c>
      <c r="AS15" s="213">
        <v>1.3</v>
      </c>
      <c r="AT15" s="213">
        <v>0.81</v>
      </c>
      <c r="AU15" s="213">
        <v>0.61</v>
      </c>
      <c r="AV15" s="213">
        <v>1.2</v>
      </c>
      <c r="AW15" s="212">
        <v>1.6</v>
      </c>
      <c r="AX15" s="217">
        <v>1.4</v>
      </c>
      <c r="AY15" s="217">
        <v>7.8E-2</v>
      </c>
      <c r="AZ15" s="219">
        <v>4.0999999999999996</v>
      </c>
      <c r="BA15" s="219">
        <v>1.9</v>
      </c>
      <c r="BB15" s="391"/>
      <c r="BC15" s="619">
        <f t="shared" si="3"/>
        <v>0.9975609756097561</v>
      </c>
      <c r="BD15" s="610">
        <f t="shared" si="4"/>
        <v>0.98842105263157898</v>
      </c>
      <c r="BF15" s="610">
        <f t="shared" si="5"/>
        <v>5.070422535211267E-4</v>
      </c>
      <c r="BG15" s="610">
        <f t="shared" si="6"/>
        <v>1.1290322580645161E-2</v>
      </c>
      <c r="BH15" s="610">
        <f t="shared" si="7"/>
        <v>0.16458333333333333</v>
      </c>
      <c r="BI15" s="610">
        <f t="shared" si="8"/>
        <v>4.7826086956521737E-3</v>
      </c>
      <c r="BJ15" s="610">
        <f t="shared" si="9"/>
        <v>0.15555555555555556</v>
      </c>
      <c r="BK15" s="610">
        <f t="shared" si="10"/>
        <v>3.3333333333333335E-3</v>
      </c>
      <c r="BL15" s="610">
        <f t="shared" si="11"/>
        <v>1.316872427983539E-3</v>
      </c>
      <c r="BM15" s="610">
        <f t="shared" si="12"/>
        <v>7.000000000000001E-3</v>
      </c>
      <c r="BN15" s="563">
        <f t="shared" si="13"/>
        <v>176.38069816749962</v>
      </c>
      <c r="BO15" s="563">
        <f t="shared" si="14"/>
        <v>171.9883700125246</v>
      </c>
      <c r="BP15" s="611">
        <f t="shared" si="15"/>
        <v>1.0255385184164205</v>
      </c>
      <c r="BR15" s="564">
        <f t="shared" si="16"/>
        <v>10.862500000000001</v>
      </c>
      <c r="BS15" s="564">
        <f t="shared" si="17"/>
        <v>0.90299999999999991</v>
      </c>
      <c r="BT15" s="564">
        <f t="shared" si="18"/>
        <v>0.27500000000000002</v>
      </c>
      <c r="BU15" s="564">
        <f t="shared" si="19"/>
        <v>6.56</v>
      </c>
      <c r="BV15" s="564">
        <f t="shared" si="20"/>
        <v>1.9</v>
      </c>
      <c r="BW15" s="564">
        <f t="shared" si="21"/>
        <v>1.1028</v>
      </c>
      <c r="BX15" s="564">
        <f t="shared" si="0"/>
        <v>0.21</v>
      </c>
      <c r="BY15" s="564">
        <f t="shared" si="22"/>
        <v>0.30359999999999998</v>
      </c>
      <c r="BZ15" s="564">
        <f t="shared" si="23"/>
        <v>2.3379999999999998E-2</v>
      </c>
      <c r="CA15" s="564">
        <f t="shared" si="24"/>
        <v>22.140279999999997</v>
      </c>
      <c r="CB15" s="611">
        <f t="shared" si="25"/>
        <v>0.88916787148594367</v>
      </c>
      <c r="CC15" s="610"/>
      <c r="CD15" s="610">
        <f t="shared" si="26"/>
        <v>0.68333333333333324</v>
      </c>
      <c r="CE15" s="610">
        <f t="shared" si="27"/>
        <v>0</v>
      </c>
      <c r="CF15" s="610">
        <f t="shared" si="31"/>
        <v>0.40000000000000013</v>
      </c>
      <c r="CG15" s="610">
        <f t="shared" si="32"/>
        <v>1.478</v>
      </c>
    </row>
    <row r="16" spans="2:85" ht="20.149999999999999" customHeight="1" x14ac:dyDescent="0.2">
      <c r="B16" s="31" t="s">
        <v>202</v>
      </c>
      <c r="C16" s="32" t="s">
        <v>207</v>
      </c>
      <c r="D16" s="210">
        <v>31.3</v>
      </c>
      <c r="E16" s="215">
        <v>1.4999999999999999E-2</v>
      </c>
      <c r="F16" s="212">
        <v>0.54</v>
      </c>
      <c r="G16" s="212">
        <v>13</v>
      </c>
      <c r="H16" s="213">
        <v>0.1</v>
      </c>
      <c r="I16" s="212">
        <v>4.7</v>
      </c>
      <c r="J16" s="212">
        <v>0.11</v>
      </c>
      <c r="K16" s="212">
        <v>1.6E-2</v>
      </c>
      <c r="L16" s="214">
        <v>0.15</v>
      </c>
      <c r="M16" s="215">
        <v>110</v>
      </c>
      <c r="N16" s="212">
        <v>130</v>
      </c>
      <c r="O16" s="212">
        <v>230</v>
      </c>
      <c r="P16" s="212">
        <v>130</v>
      </c>
      <c r="Q16" s="212">
        <v>170</v>
      </c>
      <c r="R16" s="648">
        <f t="shared" si="28"/>
        <v>0.09</v>
      </c>
      <c r="S16" s="212">
        <v>14</v>
      </c>
      <c r="T16" s="212">
        <v>14</v>
      </c>
      <c r="U16" s="216">
        <v>1.7</v>
      </c>
      <c r="V16" s="212">
        <v>7.9</v>
      </c>
      <c r="W16" s="212">
        <v>220</v>
      </c>
      <c r="X16" s="212">
        <v>0.12</v>
      </c>
      <c r="Y16" s="212">
        <v>4.8</v>
      </c>
      <c r="Z16" s="212">
        <v>5.3</v>
      </c>
      <c r="AA16" s="212">
        <v>41</v>
      </c>
      <c r="AB16" s="212">
        <v>1.6</v>
      </c>
      <c r="AC16" s="212">
        <v>1.8</v>
      </c>
      <c r="AD16" s="216">
        <v>0.28999999999999998</v>
      </c>
      <c r="AE16" s="212">
        <v>0.68</v>
      </c>
      <c r="AF16" s="212">
        <v>1.4</v>
      </c>
      <c r="AG16" s="212">
        <v>5.2999999999999999E-2</v>
      </c>
      <c r="AH16" s="212">
        <v>8.6999999999999993</v>
      </c>
      <c r="AI16" s="212">
        <v>0.21</v>
      </c>
      <c r="AJ16" s="212">
        <v>0.34</v>
      </c>
      <c r="AK16" s="648">
        <f t="shared" si="29"/>
        <v>6.4999999999999997E-3</v>
      </c>
      <c r="AL16" s="210">
        <v>9.4999999999999998E-3</v>
      </c>
      <c r="AM16" s="217">
        <v>0.33</v>
      </c>
      <c r="AN16" s="210">
        <v>2.5999999999999999E-3</v>
      </c>
      <c r="AO16" s="650">
        <f t="shared" si="30"/>
        <v>4.1000000000000003E-3</v>
      </c>
      <c r="AP16" s="212">
        <v>9.9</v>
      </c>
      <c r="AQ16" s="214">
        <v>0.26</v>
      </c>
      <c r="AR16" s="215">
        <v>4.7E-2</v>
      </c>
      <c r="AS16" s="213">
        <v>1.7</v>
      </c>
      <c r="AT16" s="213">
        <v>0.56999999999999995</v>
      </c>
      <c r="AU16" s="213">
        <v>0.53</v>
      </c>
      <c r="AV16" s="213">
        <v>1.2</v>
      </c>
      <c r="AW16" s="212">
        <v>1.4</v>
      </c>
      <c r="AX16" s="217">
        <v>1.3</v>
      </c>
      <c r="AY16" s="217">
        <v>0.11</v>
      </c>
      <c r="AZ16" s="218">
        <v>4</v>
      </c>
      <c r="BA16" s="219">
        <v>1.6</v>
      </c>
      <c r="BB16" s="391"/>
      <c r="BC16" s="619">
        <f t="shared" si="3"/>
        <v>1.0117499999999999</v>
      </c>
      <c r="BD16" s="610">
        <f t="shared" si="4"/>
        <v>1.0062500000000001</v>
      </c>
      <c r="BF16" s="610">
        <f t="shared" si="5"/>
        <v>4.225352112676056E-4</v>
      </c>
      <c r="BG16" s="610">
        <f t="shared" si="6"/>
        <v>8.7096774193548398E-3</v>
      </c>
      <c r="BH16" s="610">
        <f t="shared" si="7"/>
        <v>0.27083333333333331</v>
      </c>
      <c r="BI16" s="610">
        <f t="shared" si="8"/>
        <v>4.3478260869565218E-3</v>
      </c>
      <c r="BJ16" s="610">
        <f t="shared" si="9"/>
        <v>0.26111111111111113</v>
      </c>
      <c r="BK16" s="610">
        <f t="shared" si="10"/>
        <v>2.8205128205128207E-3</v>
      </c>
      <c r="BL16" s="610">
        <f t="shared" si="11"/>
        <v>1.316872427983539E-3</v>
      </c>
      <c r="BM16" s="610">
        <f t="shared" si="12"/>
        <v>7.4999999999999997E-3</v>
      </c>
      <c r="BN16" s="563">
        <f t="shared" si="13"/>
        <v>279.96554596395578</v>
      </c>
      <c r="BO16" s="563">
        <f t="shared" si="14"/>
        <v>277.09632244656399</v>
      </c>
      <c r="BP16" s="611">
        <f t="shared" si="15"/>
        <v>1.0103546069903007</v>
      </c>
      <c r="BR16" s="564">
        <f t="shared" si="16"/>
        <v>17.875</v>
      </c>
      <c r="BS16" s="564">
        <f t="shared" si="17"/>
        <v>0.69660000000000011</v>
      </c>
      <c r="BT16" s="564">
        <f t="shared" si="18"/>
        <v>0.25</v>
      </c>
      <c r="BU16" s="564">
        <f t="shared" si="19"/>
        <v>6.4</v>
      </c>
      <c r="BV16" s="564">
        <f t="shared" si="20"/>
        <v>1.6</v>
      </c>
      <c r="BW16" s="564">
        <f t="shared" si="21"/>
        <v>1.1947000000000001</v>
      </c>
      <c r="BX16" s="564">
        <f t="shared" si="0"/>
        <v>0.23799999999999999</v>
      </c>
      <c r="BY16" s="564">
        <f t="shared" si="22"/>
        <v>0.30359999999999998</v>
      </c>
      <c r="BZ16" s="564">
        <f t="shared" si="23"/>
        <v>2.3379999999999998E-2</v>
      </c>
      <c r="CA16" s="564">
        <f t="shared" si="24"/>
        <v>28.581280000000003</v>
      </c>
      <c r="CB16" s="611">
        <f t="shared" si="25"/>
        <v>0.91313993610223654</v>
      </c>
      <c r="CC16" s="610"/>
      <c r="CD16" s="610">
        <f t="shared" si="26"/>
        <v>0.7142857142857143</v>
      </c>
      <c r="CE16" s="610">
        <f t="shared" si="27"/>
        <v>0</v>
      </c>
      <c r="CF16" s="610">
        <f t="shared" si="31"/>
        <v>0.19999999999999996</v>
      </c>
      <c r="CG16" s="610">
        <f t="shared" si="32"/>
        <v>1.4100000000000001</v>
      </c>
    </row>
    <row r="17" spans="2:85" ht="20.149999999999999" customHeight="1" x14ac:dyDescent="0.2">
      <c r="B17" s="31" t="s">
        <v>202</v>
      </c>
      <c r="C17" s="32" t="s">
        <v>208</v>
      </c>
      <c r="D17" s="210">
        <v>31.5</v>
      </c>
      <c r="E17" s="215">
        <v>1.4999999999999999E-2</v>
      </c>
      <c r="F17" s="212">
        <v>0.16</v>
      </c>
      <c r="G17" s="212">
        <v>11</v>
      </c>
      <c r="H17" s="213">
        <v>9.0999999999999998E-2</v>
      </c>
      <c r="I17" s="212">
        <v>3.9</v>
      </c>
      <c r="J17" s="212">
        <v>0.43</v>
      </c>
      <c r="K17" s="212">
        <v>0.04</v>
      </c>
      <c r="L17" s="238">
        <v>7.3999999999999996E-2</v>
      </c>
      <c r="M17" s="215">
        <v>100</v>
      </c>
      <c r="N17" s="212">
        <v>120</v>
      </c>
      <c r="O17" s="212">
        <v>150</v>
      </c>
      <c r="P17" s="212">
        <v>480</v>
      </c>
      <c r="Q17" s="212">
        <v>95</v>
      </c>
      <c r="R17" s="648">
        <f t="shared" si="28"/>
        <v>0.09</v>
      </c>
      <c r="S17" s="212">
        <v>9.6999999999999993</v>
      </c>
      <c r="T17" s="212">
        <v>12</v>
      </c>
      <c r="U17" s="216">
        <v>2.2000000000000002</v>
      </c>
      <c r="V17" s="212">
        <v>7.4</v>
      </c>
      <c r="W17" s="212">
        <v>130</v>
      </c>
      <c r="X17" s="212">
        <v>9.6000000000000002E-2</v>
      </c>
      <c r="Y17" s="212">
        <v>4</v>
      </c>
      <c r="Z17" s="212">
        <v>17</v>
      </c>
      <c r="AA17" s="212">
        <v>52</v>
      </c>
      <c r="AB17" s="212">
        <v>1.8</v>
      </c>
      <c r="AC17" s="212">
        <v>2.2000000000000002</v>
      </c>
      <c r="AD17" s="216">
        <v>0.37</v>
      </c>
      <c r="AE17" s="212">
        <v>1.1000000000000001</v>
      </c>
      <c r="AF17" s="212">
        <v>3.9</v>
      </c>
      <c r="AG17" s="212">
        <v>5.1999999999999998E-2</v>
      </c>
      <c r="AH17" s="212">
        <v>38</v>
      </c>
      <c r="AI17" s="212">
        <v>0.23</v>
      </c>
      <c r="AJ17" s="212">
        <v>0.34</v>
      </c>
      <c r="AK17" s="648">
        <f t="shared" si="29"/>
        <v>6.4999999999999997E-3</v>
      </c>
      <c r="AL17" s="210">
        <v>0.01</v>
      </c>
      <c r="AM17" s="217">
        <v>0.36</v>
      </c>
      <c r="AN17" s="650">
        <f>0.5*0.0022</f>
        <v>1.1000000000000001E-3</v>
      </c>
      <c r="AO17" s="650">
        <f t="shared" si="30"/>
        <v>4.1000000000000003E-3</v>
      </c>
      <c r="AP17" s="212">
        <v>13</v>
      </c>
      <c r="AQ17" s="214">
        <v>0.27</v>
      </c>
      <c r="AR17" s="215">
        <v>9.8000000000000004E-2</v>
      </c>
      <c r="AS17" s="213">
        <v>2.2999999999999998</v>
      </c>
      <c r="AT17" s="213">
        <v>0.87</v>
      </c>
      <c r="AU17" s="213">
        <v>0.78</v>
      </c>
      <c r="AV17" s="213">
        <v>1.6</v>
      </c>
      <c r="AW17" s="212">
        <v>2.4</v>
      </c>
      <c r="AX17" s="217">
        <v>0.84</v>
      </c>
      <c r="AY17" s="217">
        <v>8.5999999999999993E-2</v>
      </c>
      <c r="AZ17" s="219">
        <v>5.6</v>
      </c>
      <c r="BA17" s="219">
        <v>1.7</v>
      </c>
      <c r="BB17" s="391"/>
      <c r="BC17" s="619">
        <f t="shared" si="3"/>
        <v>1.0085714285714287</v>
      </c>
      <c r="BD17" s="610">
        <f t="shared" si="4"/>
        <v>1.0152941176470587</v>
      </c>
      <c r="BF17" s="610">
        <f t="shared" si="5"/>
        <v>4.225352112676056E-4</v>
      </c>
      <c r="BG17" s="610">
        <f t="shared" si="6"/>
        <v>2.5806451612903226E-3</v>
      </c>
      <c r="BH17" s="610">
        <f t="shared" si="7"/>
        <v>0.22916666666666666</v>
      </c>
      <c r="BI17" s="610">
        <f t="shared" si="8"/>
        <v>3.956521739130435E-3</v>
      </c>
      <c r="BJ17" s="610">
        <f t="shared" si="9"/>
        <v>0.21666666666666667</v>
      </c>
      <c r="BK17" s="610">
        <f t="shared" si="10"/>
        <v>1.1025641025641025E-2</v>
      </c>
      <c r="BL17" s="610">
        <f t="shared" si="11"/>
        <v>3.2921810699588477E-3</v>
      </c>
      <c r="BM17" s="610">
        <f t="shared" si="12"/>
        <v>3.6999999999999997E-3</v>
      </c>
      <c r="BN17" s="563">
        <f t="shared" si="13"/>
        <v>232.16984703922458</v>
      </c>
      <c r="BO17" s="563">
        <f t="shared" si="14"/>
        <v>238.64101050139701</v>
      </c>
      <c r="BP17" s="611">
        <f t="shared" si="15"/>
        <v>0.97288327161967603</v>
      </c>
      <c r="BR17" s="564">
        <f t="shared" si="16"/>
        <v>15.125</v>
      </c>
      <c r="BS17" s="564">
        <f t="shared" si="17"/>
        <v>0.2064</v>
      </c>
      <c r="BT17" s="564">
        <f t="shared" si="18"/>
        <v>0.22749999999999998</v>
      </c>
      <c r="BU17" s="564">
        <f t="shared" si="19"/>
        <v>8.9599999999999991</v>
      </c>
      <c r="BV17" s="564">
        <f t="shared" si="20"/>
        <v>1.7</v>
      </c>
      <c r="BW17" s="564">
        <f t="shared" si="21"/>
        <v>1.1028</v>
      </c>
      <c r="BX17" s="564">
        <f t="shared" si="0"/>
        <v>0.13299999999999998</v>
      </c>
      <c r="BY17" s="564">
        <f t="shared" si="22"/>
        <v>0.1794</v>
      </c>
      <c r="BZ17" s="564">
        <f t="shared" si="23"/>
        <v>1.6198999999999998E-2</v>
      </c>
      <c r="CA17" s="564">
        <f t="shared" si="24"/>
        <v>27.650298999999997</v>
      </c>
      <c r="CB17" s="611">
        <f t="shared" si="25"/>
        <v>0.87778726984126976</v>
      </c>
      <c r="CC17" s="610"/>
      <c r="CD17" s="610">
        <f t="shared" si="26"/>
        <v>0.76712328767123283</v>
      </c>
      <c r="CE17" s="610">
        <f t="shared" si="27"/>
        <v>0</v>
      </c>
      <c r="CF17" s="610">
        <f t="shared" si="31"/>
        <v>0.79999999999999982</v>
      </c>
      <c r="CG17" s="610">
        <f t="shared" si="32"/>
        <v>0.92599999999999993</v>
      </c>
    </row>
    <row r="18" spans="2:85" ht="20.149999999999999" customHeight="1" thickBot="1" x14ac:dyDescent="0.25">
      <c r="B18" s="39" t="s">
        <v>202</v>
      </c>
      <c r="C18" s="45" t="s">
        <v>209</v>
      </c>
      <c r="D18" s="220">
        <v>23.1</v>
      </c>
      <c r="E18" s="221">
        <v>1.9E-2</v>
      </c>
      <c r="F18" s="222">
        <v>0.23</v>
      </c>
      <c r="G18" s="222">
        <v>7.1</v>
      </c>
      <c r="H18" s="223">
        <v>7.2999999999999995E-2</v>
      </c>
      <c r="I18" s="222">
        <v>2.5</v>
      </c>
      <c r="J18" s="222">
        <v>0.19</v>
      </c>
      <c r="K18" s="222">
        <v>1.7999999999999999E-2</v>
      </c>
      <c r="L18" s="227">
        <v>0.15</v>
      </c>
      <c r="M18" s="221">
        <v>190</v>
      </c>
      <c r="N18" s="222">
        <v>270</v>
      </c>
      <c r="O18" s="222">
        <v>360</v>
      </c>
      <c r="P18" s="222">
        <v>210</v>
      </c>
      <c r="Q18" s="222">
        <v>290</v>
      </c>
      <c r="R18" s="649">
        <f t="shared" si="28"/>
        <v>0.09</v>
      </c>
      <c r="S18" s="222">
        <v>25</v>
      </c>
      <c r="T18" s="222">
        <v>4.8</v>
      </c>
      <c r="U18" s="225">
        <v>1.5</v>
      </c>
      <c r="V18" s="222">
        <v>8.1</v>
      </c>
      <c r="W18" s="222">
        <v>300</v>
      </c>
      <c r="X18" s="222">
        <v>0.17</v>
      </c>
      <c r="Y18" s="222">
        <v>1.8</v>
      </c>
      <c r="Z18" s="222">
        <v>9</v>
      </c>
      <c r="AA18" s="222">
        <v>34</v>
      </c>
      <c r="AB18" s="222">
        <v>1</v>
      </c>
      <c r="AC18" s="222">
        <v>1.1000000000000001</v>
      </c>
      <c r="AD18" s="225">
        <v>0.28999999999999998</v>
      </c>
      <c r="AE18" s="222">
        <v>2.1</v>
      </c>
      <c r="AF18" s="222">
        <v>1.4</v>
      </c>
      <c r="AG18" s="222">
        <v>3.9E-2</v>
      </c>
      <c r="AH18" s="222">
        <v>16</v>
      </c>
      <c r="AI18" s="222">
        <v>0.15</v>
      </c>
      <c r="AJ18" s="222">
        <v>0.24</v>
      </c>
      <c r="AK18" s="649">
        <f t="shared" si="29"/>
        <v>6.4999999999999997E-3</v>
      </c>
      <c r="AL18" s="220">
        <v>1.9E-2</v>
      </c>
      <c r="AM18" s="226">
        <v>0.24</v>
      </c>
      <c r="AN18" s="220">
        <v>2.3999999999999998E-3</v>
      </c>
      <c r="AO18" s="220">
        <v>1.2999999999999999E-2</v>
      </c>
      <c r="AP18" s="222">
        <v>5.7</v>
      </c>
      <c r="AQ18" s="227">
        <v>0.15</v>
      </c>
      <c r="AR18" s="221">
        <v>6.0999999999999999E-2</v>
      </c>
      <c r="AS18" s="223">
        <v>1.8</v>
      </c>
      <c r="AT18" s="223">
        <v>0.91</v>
      </c>
      <c r="AU18" s="223">
        <v>0.61</v>
      </c>
      <c r="AV18" s="223">
        <v>1.4</v>
      </c>
      <c r="AW18" s="222">
        <v>1.6</v>
      </c>
      <c r="AX18" s="226">
        <v>0.85</v>
      </c>
      <c r="AY18" s="226">
        <v>9.9000000000000005E-2</v>
      </c>
      <c r="AZ18" s="228">
        <v>4.8</v>
      </c>
      <c r="BA18" s="228">
        <v>1.1000000000000001</v>
      </c>
      <c r="BB18" s="403"/>
      <c r="BC18" s="620">
        <f t="shared" si="3"/>
        <v>0.9960416666666666</v>
      </c>
      <c r="BD18" s="617">
        <f t="shared" si="4"/>
        <v>1.0445454545454549</v>
      </c>
      <c r="BE18" s="616"/>
      <c r="BF18" s="617">
        <f t="shared" si="5"/>
        <v>5.3521126760563379E-4</v>
      </c>
      <c r="BG18" s="617">
        <f t="shared" si="6"/>
        <v>3.7096774193548388E-3</v>
      </c>
      <c r="BH18" s="617">
        <f t="shared" si="7"/>
        <v>0.14791666666666667</v>
      </c>
      <c r="BI18" s="617">
        <f t="shared" si="8"/>
        <v>3.1739130434782605E-3</v>
      </c>
      <c r="BJ18" s="617">
        <f t="shared" si="9"/>
        <v>0.1388888888888889</v>
      </c>
      <c r="BK18" s="617">
        <f t="shared" si="10"/>
        <v>4.871794871794872E-3</v>
      </c>
      <c r="BL18" s="617">
        <f t="shared" si="11"/>
        <v>1.4814814814814814E-3</v>
      </c>
      <c r="BM18" s="617">
        <f t="shared" si="12"/>
        <v>7.4999999999999997E-3</v>
      </c>
      <c r="BN18" s="621">
        <f t="shared" si="13"/>
        <v>152.16155535362714</v>
      </c>
      <c r="BO18" s="621">
        <f t="shared" si="14"/>
        <v>155.91607828564349</v>
      </c>
      <c r="BP18" s="618">
        <f t="shared" si="15"/>
        <v>0.975919591017817</v>
      </c>
      <c r="BQ18" s="616"/>
      <c r="BR18" s="615">
        <f t="shared" si="16"/>
        <v>9.7624999999999993</v>
      </c>
      <c r="BS18" s="615">
        <f t="shared" si="17"/>
        <v>0.29670000000000002</v>
      </c>
      <c r="BT18" s="615">
        <f t="shared" si="18"/>
        <v>0.1825</v>
      </c>
      <c r="BU18" s="615">
        <f t="shared" si="19"/>
        <v>7.68</v>
      </c>
      <c r="BV18" s="615">
        <f t="shared" si="20"/>
        <v>1.1000000000000001</v>
      </c>
      <c r="BW18" s="615">
        <f t="shared" si="21"/>
        <v>2.4813000000000001</v>
      </c>
      <c r="BX18" s="615">
        <f t="shared" si="0"/>
        <v>0.40599999999999997</v>
      </c>
      <c r="BY18" s="615">
        <f t="shared" si="22"/>
        <v>0.41399999999999998</v>
      </c>
      <c r="BZ18" s="615">
        <f t="shared" si="23"/>
        <v>4.1750000000000002E-2</v>
      </c>
      <c r="CA18" s="615">
        <f t="shared" si="24"/>
        <v>22.364750000000001</v>
      </c>
      <c r="CB18" s="618">
        <f t="shared" si="25"/>
        <v>0.96817099567099563</v>
      </c>
      <c r="CC18" s="617"/>
      <c r="CD18" s="617">
        <f t="shared" si="26"/>
        <v>0.81355932203389825</v>
      </c>
      <c r="CE18" s="617">
        <f t="shared" si="27"/>
        <v>0</v>
      </c>
      <c r="CF18" s="617">
        <f t="shared" si="31"/>
        <v>0.20000000000000018</v>
      </c>
      <c r="CG18" s="617">
        <f t="shared" si="32"/>
        <v>0.94899999999999995</v>
      </c>
    </row>
    <row r="19" spans="2:85" ht="20.149999999999999" customHeight="1" x14ac:dyDescent="0.2">
      <c r="B19" s="31" t="s">
        <v>61</v>
      </c>
      <c r="C19" s="46" t="s">
        <v>92</v>
      </c>
      <c r="D19" s="229">
        <v>29.9</v>
      </c>
      <c r="E19" s="230">
        <v>1.7000000000000001E-2</v>
      </c>
      <c r="F19" s="231">
        <v>0.25</v>
      </c>
      <c r="G19" s="231">
        <v>12</v>
      </c>
      <c r="H19" s="232">
        <v>0.13</v>
      </c>
      <c r="I19" s="231">
        <v>4.0999999999999996</v>
      </c>
      <c r="J19" s="231">
        <v>0.14000000000000001</v>
      </c>
      <c r="K19" s="231">
        <v>2.4E-2</v>
      </c>
      <c r="L19" s="236">
        <v>0.26</v>
      </c>
      <c r="M19" s="230">
        <v>120</v>
      </c>
      <c r="N19" s="231">
        <v>200</v>
      </c>
      <c r="O19" s="231">
        <v>360</v>
      </c>
      <c r="P19" s="231">
        <v>190</v>
      </c>
      <c r="Q19" s="231">
        <v>230</v>
      </c>
      <c r="R19" s="234" t="s">
        <v>217</v>
      </c>
      <c r="S19" s="231">
        <v>21</v>
      </c>
      <c r="T19" s="231">
        <v>8.4</v>
      </c>
      <c r="U19" s="234">
        <v>1.6</v>
      </c>
      <c r="V19" s="231">
        <v>8.9</v>
      </c>
      <c r="W19" s="231">
        <v>250</v>
      </c>
      <c r="X19" s="231">
        <v>0.18</v>
      </c>
      <c r="Y19" s="231">
        <v>3.1</v>
      </c>
      <c r="Z19" s="231">
        <v>8</v>
      </c>
      <c r="AA19" s="231">
        <v>47</v>
      </c>
      <c r="AB19" s="231">
        <v>2.2000000000000002</v>
      </c>
      <c r="AC19" s="231">
        <v>1.7</v>
      </c>
      <c r="AD19" s="234">
        <v>0.37</v>
      </c>
      <c r="AE19" s="231">
        <v>1.1000000000000001</v>
      </c>
      <c r="AF19" s="231">
        <v>2</v>
      </c>
      <c r="AG19" s="231">
        <v>6.0999999999999999E-2</v>
      </c>
      <c r="AH19" s="231">
        <v>12</v>
      </c>
      <c r="AI19" s="231">
        <v>0.15</v>
      </c>
      <c r="AJ19" s="231">
        <v>0.28000000000000003</v>
      </c>
      <c r="AK19" s="234" t="s">
        <v>222</v>
      </c>
      <c r="AL19" s="229">
        <v>1.2E-2</v>
      </c>
      <c r="AM19" s="235">
        <v>0.28999999999999998</v>
      </c>
      <c r="AN19" s="229">
        <v>4.5999999999999999E-3</v>
      </c>
      <c r="AO19" s="229" t="s">
        <v>225</v>
      </c>
      <c r="AP19" s="231">
        <v>11</v>
      </c>
      <c r="AQ19" s="236">
        <v>0.3</v>
      </c>
      <c r="AR19" s="230">
        <v>6.9000000000000006E-2</v>
      </c>
      <c r="AS19" s="232">
        <v>1.4</v>
      </c>
      <c r="AT19" s="232">
        <v>0.56000000000000005</v>
      </c>
      <c r="AU19" s="232">
        <v>0.5</v>
      </c>
      <c r="AV19" s="232">
        <v>1.2</v>
      </c>
      <c r="AW19" s="231">
        <v>1.4</v>
      </c>
      <c r="AX19" s="235">
        <v>1.2</v>
      </c>
      <c r="AY19" s="235">
        <v>7.3999999999999996E-2</v>
      </c>
      <c r="AZ19" s="237">
        <v>3.7</v>
      </c>
      <c r="BA19" s="237">
        <v>1.5</v>
      </c>
      <c r="BB19" s="395"/>
      <c r="BC19" s="619">
        <f t="shared" si="3"/>
        <v>1.0078378378378379</v>
      </c>
      <c r="BD19" s="610">
        <f t="shared" si="4"/>
        <v>0.98266666666666636</v>
      </c>
      <c r="BF19" s="610">
        <f t="shared" si="5"/>
        <v>4.7887323943661978E-4</v>
      </c>
      <c r="BG19" s="610">
        <f t="shared" si="6"/>
        <v>4.0322580645161289E-3</v>
      </c>
      <c r="BH19" s="610">
        <f t="shared" si="7"/>
        <v>0.25</v>
      </c>
      <c r="BI19" s="610">
        <f t="shared" si="8"/>
        <v>5.6521739130434784E-3</v>
      </c>
      <c r="BJ19" s="610">
        <f t="shared" si="9"/>
        <v>0.22777777777777775</v>
      </c>
      <c r="BK19" s="610">
        <f t="shared" si="10"/>
        <v>3.5897435897435902E-3</v>
      </c>
      <c r="BL19" s="610">
        <f t="shared" si="11"/>
        <v>1.9753086419753087E-3</v>
      </c>
      <c r="BM19" s="610">
        <f t="shared" si="12"/>
        <v>1.3000000000000001E-2</v>
      </c>
      <c r="BN19" s="563">
        <f t="shared" si="13"/>
        <v>254.51113130395277</v>
      </c>
      <c r="BO19" s="563">
        <f t="shared" si="14"/>
        <v>251.99500392254015</v>
      </c>
      <c r="BP19" s="611">
        <f t="shared" si="15"/>
        <v>1.0099848304222176</v>
      </c>
      <c r="BR19" s="564">
        <f t="shared" si="16"/>
        <v>16.5</v>
      </c>
      <c r="BS19" s="564">
        <f t="shared" si="17"/>
        <v>0.32250000000000001</v>
      </c>
      <c r="BT19" s="564">
        <f t="shared" si="18"/>
        <v>0.32500000000000001</v>
      </c>
      <c r="BU19" s="564">
        <f t="shared" si="19"/>
        <v>5.9200000000000008</v>
      </c>
      <c r="BV19" s="564">
        <f t="shared" si="20"/>
        <v>1.5</v>
      </c>
      <c r="BW19" s="564">
        <f t="shared" si="21"/>
        <v>1.8380000000000001</v>
      </c>
      <c r="BX19" s="564">
        <f t="shared" si="0"/>
        <v>0.32200000000000001</v>
      </c>
      <c r="BY19" s="564">
        <f t="shared" si="22"/>
        <v>0.34499999999999997</v>
      </c>
      <c r="BZ19" s="564">
        <f t="shared" si="23"/>
        <v>3.5070000000000004E-2</v>
      </c>
      <c r="CA19" s="564">
        <f t="shared" si="24"/>
        <v>27.107570000000003</v>
      </c>
      <c r="CB19" s="611">
        <f t="shared" si="25"/>
        <v>0.90660769230769245</v>
      </c>
      <c r="CC19" s="610"/>
      <c r="CD19" s="610">
        <f t="shared" si="26"/>
        <v>0.71153846153846156</v>
      </c>
      <c r="CE19" s="610">
        <f t="shared" si="27"/>
        <v>0</v>
      </c>
      <c r="CF19" s="610">
        <f t="shared" si="31"/>
        <v>0.19999999999999996</v>
      </c>
      <c r="CG19" s="610">
        <f t="shared" si="32"/>
        <v>1.274</v>
      </c>
    </row>
    <row r="20" spans="2:85" ht="20.149999999999999" customHeight="1" x14ac:dyDescent="0.2">
      <c r="B20" s="21" t="s">
        <v>61</v>
      </c>
      <c r="C20" s="52" t="s">
        <v>210</v>
      </c>
      <c r="D20" s="239">
        <v>24.4</v>
      </c>
      <c r="E20" s="240">
        <v>1.4999999999999999E-2</v>
      </c>
      <c r="F20" s="241">
        <v>0.22</v>
      </c>
      <c r="G20" s="241">
        <v>9.1</v>
      </c>
      <c r="H20" s="242">
        <v>0.1</v>
      </c>
      <c r="I20" s="241">
        <v>3.1</v>
      </c>
      <c r="J20" s="241">
        <v>9.6000000000000002E-2</v>
      </c>
      <c r="K20" s="241">
        <v>1.7999999999999999E-2</v>
      </c>
      <c r="L20" s="243">
        <v>0.28999999999999998</v>
      </c>
      <c r="M20" s="240">
        <v>120</v>
      </c>
      <c r="N20" s="241">
        <v>260</v>
      </c>
      <c r="O20" s="241">
        <v>460</v>
      </c>
      <c r="P20" s="241">
        <v>140</v>
      </c>
      <c r="Q20" s="241">
        <v>350</v>
      </c>
      <c r="R20" s="244" t="s">
        <v>217</v>
      </c>
      <c r="S20" s="241">
        <v>27</v>
      </c>
      <c r="T20" s="241">
        <v>6.2</v>
      </c>
      <c r="U20" s="244">
        <v>1.8</v>
      </c>
      <c r="V20" s="241">
        <v>9.9</v>
      </c>
      <c r="W20" s="241">
        <v>300</v>
      </c>
      <c r="X20" s="241">
        <v>0.19</v>
      </c>
      <c r="Y20" s="241">
        <v>2.2999999999999998</v>
      </c>
      <c r="Z20" s="241">
        <v>5.5</v>
      </c>
      <c r="AA20" s="241">
        <v>37</v>
      </c>
      <c r="AB20" s="241">
        <v>1.4</v>
      </c>
      <c r="AC20" s="241">
        <v>1.2</v>
      </c>
      <c r="AD20" s="244">
        <v>0.25</v>
      </c>
      <c r="AE20" s="241">
        <v>0.91</v>
      </c>
      <c r="AF20" s="241">
        <v>1.5</v>
      </c>
      <c r="AG20" s="241">
        <v>0.05</v>
      </c>
      <c r="AH20" s="241">
        <v>13</v>
      </c>
      <c r="AI20" s="241">
        <v>0.13</v>
      </c>
      <c r="AJ20" s="241">
        <v>0.23</v>
      </c>
      <c r="AK20" s="244" t="s">
        <v>222</v>
      </c>
      <c r="AL20" s="239">
        <v>1.4999999999999999E-2</v>
      </c>
      <c r="AM20" s="245">
        <v>0.25</v>
      </c>
      <c r="AN20" s="239">
        <v>3.5999999999999999E-3</v>
      </c>
      <c r="AO20" s="239" t="s">
        <v>225</v>
      </c>
      <c r="AP20" s="241">
        <v>8.3000000000000007</v>
      </c>
      <c r="AQ20" s="243">
        <v>0.22</v>
      </c>
      <c r="AR20" s="240">
        <v>0.12</v>
      </c>
      <c r="AS20" s="242">
        <v>1.3</v>
      </c>
      <c r="AT20" s="242">
        <v>0.62</v>
      </c>
      <c r="AU20" s="242">
        <v>0.51</v>
      </c>
      <c r="AV20" s="242">
        <v>1.1000000000000001</v>
      </c>
      <c r="AW20" s="241">
        <v>1.3</v>
      </c>
      <c r="AX20" s="245">
        <v>1.1000000000000001</v>
      </c>
      <c r="AY20" s="245">
        <v>0.13</v>
      </c>
      <c r="AZ20" s="246">
        <v>3.7</v>
      </c>
      <c r="BA20" s="246">
        <v>1.4</v>
      </c>
      <c r="BB20" s="414"/>
      <c r="BC20" s="619">
        <f t="shared" si="3"/>
        <v>0.9864864864864864</v>
      </c>
      <c r="BD20" s="610">
        <f t="shared" si="4"/>
        <v>1.0214285714285716</v>
      </c>
      <c r="BF20" s="610">
        <f t="shared" si="5"/>
        <v>4.225352112676056E-4</v>
      </c>
      <c r="BG20" s="610">
        <f t="shared" si="6"/>
        <v>3.5483870967741938E-3</v>
      </c>
      <c r="BH20" s="610">
        <f t="shared" si="7"/>
        <v>0.18958333333333333</v>
      </c>
      <c r="BI20" s="610">
        <f t="shared" si="8"/>
        <v>4.3478260869565218E-3</v>
      </c>
      <c r="BJ20" s="610">
        <f t="shared" si="9"/>
        <v>0.17222222222222222</v>
      </c>
      <c r="BK20" s="610">
        <f t="shared" si="10"/>
        <v>2.4615384615384616E-3</v>
      </c>
      <c r="BL20" s="610">
        <f t="shared" si="11"/>
        <v>1.4814814814814814E-3</v>
      </c>
      <c r="BM20" s="610">
        <f t="shared" si="12"/>
        <v>1.4499999999999999E-2</v>
      </c>
      <c r="BN20" s="563">
        <f t="shared" si="13"/>
        <v>193.55425564137514</v>
      </c>
      <c r="BO20" s="563">
        <f t="shared" si="14"/>
        <v>195.01306825219865</v>
      </c>
      <c r="BP20" s="611">
        <f t="shared" si="15"/>
        <v>0.99251941101230756</v>
      </c>
      <c r="BR20" s="564">
        <f t="shared" si="16"/>
        <v>12.512499999999999</v>
      </c>
      <c r="BS20" s="564">
        <f t="shared" si="17"/>
        <v>0.2838</v>
      </c>
      <c r="BT20" s="564">
        <f t="shared" si="18"/>
        <v>0.25</v>
      </c>
      <c r="BU20" s="564">
        <f t="shared" si="19"/>
        <v>5.9200000000000008</v>
      </c>
      <c r="BV20" s="564">
        <f t="shared" si="20"/>
        <v>1.4</v>
      </c>
      <c r="BW20" s="564">
        <f t="shared" si="21"/>
        <v>2.3894000000000002</v>
      </c>
      <c r="BX20" s="564">
        <f t="shared" si="0"/>
        <v>0.48999999999999994</v>
      </c>
      <c r="BY20" s="564">
        <f t="shared" si="22"/>
        <v>0.41399999999999998</v>
      </c>
      <c r="BZ20" s="564">
        <f t="shared" si="23"/>
        <v>4.5089999999999998E-2</v>
      </c>
      <c r="CA20" s="564">
        <f t="shared" si="24"/>
        <v>23.704789999999996</v>
      </c>
      <c r="CB20" s="611">
        <f t="shared" si="25"/>
        <v>0.97150778688524575</v>
      </c>
      <c r="CD20" s="610">
        <f t="shared" si="26"/>
        <v>0.72549019607843146</v>
      </c>
      <c r="CE20" s="610">
        <f t="shared" si="27"/>
        <v>0</v>
      </c>
      <c r="CF20" s="610">
        <f t="shared" si="31"/>
        <v>0.19999999999999996</v>
      </c>
      <c r="CG20" s="610">
        <f t="shared" si="32"/>
        <v>1.23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25.528571428571432</v>
      </c>
      <c r="E21" s="541">
        <f t="shared" ref="E21:BB21" si="33">AVERAGE(E12:E18)</f>
        <v>2.1899999999999996E-2</v>
      </c>
      <c r="F21" s="541">
        <f t="shared" si="33"/>
        <v>0.35285714285714287</v>
      </c>
      <c r="G21" s="540">
        <f t="shared" si="33"/>
        <v>8.6571428571428566</v>
      </c>
      <c r="H21" s="541">
        <f t="shared" si="33"/>
        <v>0.13057142857142856</v>
      </c>
      <c r="I21" s="540">
        <f t="shared" si="33"/>
        <v>3.0714285714285707</v>
      </c>
      <c r="J21" s="541">
        <f t="shared" si="33"/>
        <v>0.16300000000000001</v>
      </c>
      <c r="K21" s="541">
        <f t="shared" si="33"/>
        <v>2.2999999999999996E-2</v>
      </c>
      <c r="L21" s="541">
        <f t="shared" si="33"/>
        <v>0.10771428571428572</v>
      </c>
      <c r="M21" s="540">
        <f t="shared" si="33"/>
        <v>151.42857142857142</v>
      </c>
      <c r="N21" s="540">
        <f t="shared" si="33"/>
        <v>116.42857142857143</v>
      </c>
      <c r="O21" s="540">
        <f t="shared" si="33"/>
        <v>176.85714285714286</v>
      </c>
      <c r="P21" s="540">
        <f t="shared" si="33"/>
        <v>184.28571428571428</v>
      </c>
      <c r="Q21" s="540">
        <f t="shared" si="33"/>
        <v>127.85714285714286</v>
      </c>
      <c r="R21" s="540">
        <f t="shared" si="33"/>
        <v>8.9999999999999983E-2</v>
      </c>
      <c r="S21" s="540">
        <f t="shared" si="33"/>
        <v>11.828571428571427</v>
      </c>
      <c r="T21" s="540">
        <f t="shared" si="33"/>
        <v>8.1285714285714281</v>
      </c>
      <c r="U21" s="540">
        <f t="shared" si="33"/>
        <v>1.6857142857142857</v>
      </c>
      <c r="V21" s="540">
        <f t="shared" si="33"/>
        <v>6.9857142857142858</v>
      </c>
      <c r="W21" s="540">
        <f t="shared" si="33"/>
        <v>177.14285714285714</v>
      </c>
      <c r="X21" s="540">
        <f t="shared" si="33"/>
        <v>9.114285714285715E-2</v>
      </c>
      <c r="Y21" s="540">
        <f t="shared" si="33"/>
        <v>3.0285714285714285</v>
      </c>
      <c r="Z21" s="540">
        <f t="shared" si="33"/>
        <v>7.3285714285714283</v>
      </c>
      <c r="AA21" s="540">
        <f t="shared" si="33"/>
        <v>39</v>
      </c>
      <c r="AB21" s="540">
        <f t="shared" si="33"/>
        <v>1.0699999999999998</v>
      </c>
      <c r="AC21" s="541">
        <f t="shared" si="33"/>
        <v>1.3499999999999999</v>
      </c>
      <c r="AD21" s="541">
        <f t="shared" si="33"/>
        <v>0.25999999999999995</v>
      </c>
      <c r="AE21" s="541">
        <f t="shared" si="33"/>
        <v>1.0428571428571427</v>
      </c>
      <c r="AF21" s="541">
        <f t="shared" si="33"/>
        <v>1.7342857142857144</v>
      </c>
      <c r="AG21" s="541">
        <f t="shared" si="33"/>
        <v>3.7428571428571422E-2</v>
      </c>
      <c r="AH21" s="541">
        <f t="shared" si="33"/>
        <v>11.771428571428572</v>
      </c>
      <c r="AI21" s="541">
        <f t="shared" si="33"/>
        <v>0.19285714285714284</v>
      </c>
      <c r="AJ21" s="541">
        <f t="shared" si="33"/>
        <v>0.2385714285714286</v>
      </c>
      <c r="AK21" s="541">
        <f t="shared" si="33"/>
        <v>6.4999999999999997E-3</v>
      </c>
      <c r="AL21" s="541">
        <f t="shared" si="33"/>
        <v>9.3857142857142872E-3</v>
      </c>
      <c r="AM21" s="541">
        <f t="shared" si="33"/>
        <v>0.28714285714285709</v>
      </c>
      <c r="AN21" s="541">
        <f t="shared" si="33"/>
        <v>1.7428571428571428E-3</v>
      </c>
      <c r="AO21" s="541">
        <f t="shared" si="33"/>
        <v>5.3714285714285713E-3</v>
      </c>
      <c r="AP21" s="541">
        <f t="shared" si="33"/>
        <v>7.5571428571428569</v>
      </c>
      <c r="AQ21" s="541">
        <f t="shared" si="33"/>
        <v>0.19999999999999998</v>
      </c>
      <c r="AR21" s="540">
        <f t="shared" si="33"/>
        <v>8.3428571428571435E-2</v>
      </c>
      <c r="AS21" s="540">
        <f t="shared" si="33"/>
        <v>1.8142857142857143</v>
      </c>
      <c r="AT21" s="540">
        <f t="shared" si="33"/>
        <v>0.88142857142857145</v>
      </c>
      <c r="AU21" s="540">
        <f t="shared" si="33"/>
        <v>0.66142857142857159</v>
      </c>
      <c r="AV21" s="540">
        <f t="shared" si="33"/>
        <v>1.4571428571428573</v>
      </c>
      <c r="AW21" s="540">
        <f t="shared" si="33"/>
        <v>1.8714285714285717</v>
      </c>
      <c r="AX21" s="540">
        <f t="shared" si="33"/>
        <v>1.1042857142857143</v>
      </c>
      <c r="AY21" s="540">
        <f t="shared" si="33"/>
        <v>9.5571428571428571E-2</v>
      </c>
      <c r="AZ21" s="540">
        <f t="shared" si="33"/>
        <v>4.8999999999999995</v>
      </c>
      <c r="BA21" s="540">
        <f t="shared" si="33"/>
        <v>1.5999999999999999</v>
      </c>
      <c r="BB21" s="540" t="e">
        <f t="shared" si="33"/>
        <v>#DIV/0!</v>
      </c>
      <c r="CD21" s="691">
        <f>AVERAGE(CD12:CD18)</f>
        <v>0.75222223189237458</v>
      </c>
      <c r="CE21" s="691">
        <f>AVERAGE(CE12:CE18)</f>
        <v>0</v>
      </c>
      <c r="CF21" s="691">
        <f>AVERAGE(CF12:CF18)</f>
        <v>0.41428571428571426</v>
      </c>
      <c r="CG21" s="691">
        <f>AVERAGE(CG12:CG18)</f>
        <v>1.199857142857143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22.814285714285713</v>
      </c>
      <c r="E22" s="545">
        <f t="shared" ref="E22:BB22" si="34">AVERAGE(E7:E20)</f>
        <v>2.0371428571428575E-2</v>
      </c>
      <c r="F22" s="545">
        <f t="shared" si="34"/>
        <v>0.35714285714285721</v>
      </c>
      <c r="G22" s="544">
        <f t="shared" si="34"/>
        <v>7.2499999999999991</v>
      </c>
      <c r="H22" s="545">
        <f t="shared" si="34"/>
        <v>0.12264285714285715</v>
      </c>
      <c r="I22" s="544">
        <f t="shared" si="34"/>
        <v>2.5414285714285714</v>
      </c>
      <c r="J22" s="545">
        <f t="shared" si="34"/>
        <v>0.1547857142857143</v>
      </c>
      <c r="K22" s="545">
        <f t="shared" si="34"/>
        <v>2.330714285714286E-2</v>
      </c>
      <c r="L22" s="545">
        <f t="shared" si="34"/>
        <v>0.15685714285714286</v>
      </c>
      <c r="M22" s="544">
        <f t="shared" si="34"/>
        <v>138</v>
      </c>
      <c r="N22" s="544">
        <f t="shared" si="34"/>
        <v>128.78571428571428</v>
      </c>
      <c r="O22" s="544">
        <f t="shared" si="34"/>
        <v>198.35714285714286</v>
      </c>
      <c r="P22" s="544">
        <f t="shared" si="34"/>
        <v>176.85714285714286</v>
      </c>
      <c r="Q22" s="544">
        <f t="shared" si="34"/>
        <v>157.64285714285714</v>
      </c>
      <c r="R22" s="544">
        <f t="shared" si="34"/>
        <v>8.9999999999999983E-2</v>
      </c>
      <c r="S22" s="544">
        <f t="shared" si="34"/>
        <v>13.314285714285713</v>
      </c>
      <c r="T22" s="544">
        <f t="shared" si="34"/>
        <v>7.3999999999999995</v>
      </c>
      <c r="U22" s="544">
        <f t="shared" si="34"/>
        <v>1.6715384615384616</v>
      </c>
      <c r="V22" s="544">
        <f t="shared" si="34"/>
        <v>7.1714285714285717</v>
      </c>
      <c r="W22" s="544">
        <f t="shared" si="34"/>
        <v>187.14285714285714</v>
      </c>
      <c r="X22" s="544">
        <f t="shared" si="34"/>
        <v>0.1002142857142857</v>
      </c>
      <c r="Y22" s="544">
        <f t="shared" si="34"/>
        <v>2.7399999999999998</v>
      </c>
      <c r="Z22" s="544">
        <f t="shared" si="34"/>
        <v>7.0714285714285712</v>
      </c>
      <c r="AA22" s="544">
        <f t="shared" si="34"/>
        <v>36.307142857142857</v>
      </c>
      <c r="AB22" s="544">
        <f t="shared" si="34"/>
        <v>0.98071428571428587</v>
      </c>
      <c r="AC22" s="545">
        <f t="shared" si="34"/>
        <v>1.3007692307692307</v>
      </c>
      <c r="AD22" s="545">
        <f t="shared" si="34"/>
        <v>0.27</v>
      </c>
      <c r="AE22" s="545">
        <f t="shared" si="34"/>
        <v>0.97499999999999987</v>
      </c>
      <c r="AF22" s="545">
        <f t="shared" si="34"/>
        <v>1.7035714285714285</v>
      </c>
      <c r="AG22" s="545">
        <f t="shared" si="34"/>
        <v>3.7999999999999992E-2</v>
      </c>
      <c r="AH22" s="545">
        <f t="shared" si="34"/>
        <v>11.671428571428573</v>
      </c>
      <c r="AI22" s="545">
        <f t="shared" si="34"/>
        <v>0.17878571428571427</v>
      </c>
      <c r="AJ22" s="545">
        <f t="shared" si="34"/>
        <v>0.23428571428571426</v>
      </c>
      <c r="AK22" s="545">
        <f t="shared" si="34"/>
        <v>6.4999999999999997E-3</v>
      </c>
      <c r="AL22" s="545">
        <f t="shared" si="34"/>
        <v>9.6071428571428558E-3</v>
      </c>
      <c r="AM22" s="545">
        <f t="shared" si="34"/>
        <v>0.29923076923076919</v>
      </c>
      <c r="AN22" s="545">
        <f t="shared" si="34"/>
        <v>2.2666666666666664E-3</v>
      </c>
      <c r="AO22" s="545">
        <f t="shared" si="34"/>
        <v>5.3714285714285713E-3</v>
      </c>
      <c r="AP22" s="545">
        <f t="shared" si="34"/>
        <v>6.9142857142857137</v>
      </c>
      <c r="AQ22" s="545">
        <f t="shared" si="34"/>
        <v>0.17935714285714285</v>
      </c>
      <c r="AR22" s="544">
        <f t="shared" si="34"/>
        <v>8.5615384615384621E-2</v>
      </c>
      <c r="AS22" s="544">
        <f t="shared" si="34"/>
        <v>1.6564285714285716</v>
      </c>
      <c r="AT22" s="544">
        <f t="shared" si="34"/>
        <v>0.92071428571428571</v>
      </c>
      <c r="AU22" s="544">
        <f t="shared" si="34"/>
        <v>0.65571428571428569</v>
      </c>
      <c r="AV22" s="544">
        <f t="shared" si="34"/>
        <v>1.2985714285714285</v>
      </c>
      <c r="AW22" s="544">
        <f t="shared" si="34"/>
        <v>1.7221428571428568</v>
      </c>
      <c r="AX22" s="544">
        <f t="shared" si="34"/>
        <v>0.98142857142857143</v>
      </c>
      <c r="AY22" s="544">
        <f t="shared" si="34"/>
        <v>9.5357142857142849E-2</v>
      </c>
      <c r="AZ22" s="544">
        <f t="shared" si="34"/>
        <v>4.6142857142857148</v>
      </c>
      <c r="BA22" s="544">
        <f t="shared" si="34"/>
        <v>1.4978571428571428</v>
      </c>
      <c r="BB22" s="544" t="e">
        <f t="shared" si="34"/>
        <v>#DIV/0!</v>
      </c>
      <c r="CD22" s="691">
        <f>AVERAGE(CD7:CD20)</f>
        <v>0.7491020636174418</v>
      </c>
      <c r="CE22" s="691">
        <f>AVERAGE(CE7:CE20)</f>
        <v>0</v>
      </c>
      <c r="CF22" s="691">
        <f>AVERAGE(CF7:CF20)</f>
        <v>0.4235714285714286</v>
      </c>
      <c r="CG22" s="691">
        <f>AVERAGE(CG7:CG20)</f>
        <v>1.0767857142857142</v>
      </c>
    </row>
    <row r="23" spans="2:85" ht="20.149999999999999" customHeight="1" x14ac:dyDescent="0.2">
      <c r="B23" s="704" t="s">
        <v>94</v>
      </c>
      <c r="C23" s="705"/>
      <c r="D23" s="57"/>
      <c r="E23" s="247">
        <v>2.7000000000000001E-3</v>
      </c>
      <c r="F23" s="205">
        <v>0.01</v>
      </c>
      <c r="G23" s="205">
        <v>6.6E-3</v>
      </c>
      <c r="H23" s="247">
        <v>1.9E-3</v>
      </c>
      <c r="I23" s="205">
        <v>7.0000000000000001E-3</v>
      </c>
      <c r="J23" s="205">
        <v>1.9E-3</v>
      </c>
      <c r="K23" s="205">
        <v>1.2999999999999999E-3</v>
      </c>
      <c r="L23" s="206">
        <v>3.5000000000000003E-2</v>
      </c>
      <c r="M23" s="203">
        <v>3</v>
      </c>
      <c r="N23" s="202">
        <v>5.6</v>
      </c>
      <c r="O23" s="205">
        <v>3.3</v>
      </c>
      <c r="P23" s="202">
        <v>0.91</v>
      </c>
      <c r="Q23" s="202">
        <v>15</v>
      </c>
      <c r="R23" s="202">
        <v>0.18</v>
      </c>
      <c r="S23" s="202">
        <v>0.67</v>
      </c>
      <c r="T23" s="202">
        <v>1.0999999999999999E-2</v>
      </c>
      <c r="U23" s="202">
        <v>0.72</v>
      </c>
      <c r="V23" s="202">
        <v>6.2E-2</v>
      </c>
      <c r="W23" s="202">
        <v>0.93</v>
      </c>
      <c r="X23" s="202">
        <v>6.4999999999999997E-3</v>
      </c>
      <c r="Y23" s="202">
        <v>2.9000000000000001E-2</v>
      </c>
      <c r="Z23" s="202">
        <v>0.16</v>
      </c>
      <c r="AA23" s="202">
        <v>0.53</v>
      </c>
      <c r="AB23" s="202">
        <v>3.3000000000000002E-2</v>
      </c>
      <c r="AC23" s="202">
        <v>0.1</v>
      </c>
      <c r="AD23" s="202">
        <v>0.15</v>
      </c>
      <c r="AE23" s="202">
        <v>2.1000000000000001E-2</v>
      </c>
      <c r="AF23" s="202">
        <v>6.4000000000000003E-3</v>
      </c>
      <c r="AG23" s="202">
        <v>8.3000000000000001E-3</v>
      </c>
      <c r="AH23" s="202">
        <v>0.13</v>
      </c>
      <c r="AI23" s="202">
        <v>3.4000000000000002E-2</v>
      </c>
      <c r="AJ23" s="202">
        <v>3.8999999999999998E-3</v>
      </c>
      <c r="AK23" s="202">
        <v>1.2999999999999999E-2</v>
      </c>
      <c r="AL23" s="208">
        <v>6.6E-3</v>
      </c>
      <c r="AM23" s="248">
        <v>5.3999999999999999E-2</v>
      </c>
      <c r="AN23" s="248">
        <v>2.2000000000000001E-3</v>
      </c>
      <c r="AO23" s="248">
        <v>8.2000000000000007E-3</v>
      </c>
      <c r="AP23" s="249">
        <v>4.3999999999999997E-2</v>
      </c>
      <c r="AQ23" s="250">
        <v>1.4E-2</v>
      </c>
      <c r="AR23" s="201">
        <v>4.0000000000000001E-3</v>
      </c>
      <c r="AS23" s="203">
        <v>2.4E-2</v>
      </c>
      <c r="AT23" s="203">
        <v>3.2000000000000001E-2</v>
      </c>
      <c r="AU23" s="203">
        <v>2.4E-2</v>
      </c>
      <c r="AV23" s="247">
        <v>0</v>
      </c>
      <c r="AW23" s="205">
        <v>0</v>
      </c>
      <c r="AX23" s="208">
        <v>1.2E-2</v>
      </c>
      <c r="AY23" s="200">
        <v>0</v>
      </c>
      <c r="AZ23" s="27"/>
      <c r="BA23" s="27"/>
      <c r="BB23" s="26"/>
    </row>
    <row r="24" spans="2:85" ht="20.149999999999999" customHeight="1" x14ac:dyDescent="0.2">
      <c r="B24" s="692" t="s">
        <v>95</v>
      </c>
      <c r="C24" s="693"/>
      <c r="D24" s="61"/>
      <c r="E24" s="251">
        <v>9.1000000000000004E-3</v>
      </c>
      <c r="F24" s="244">
        <v>3.3000000000000002E-2</v>
      </c>
      <c r="G24" s="244">
        <v>2.1999999999999999E-2</v>
      </c>
      <c r="H24" s="251">
        <v>6.4000000000000003E-3</v>
      </c>
      <c r="I24" s="244">
        <v>2.3E-2</v>
      </c>
      <c r="J24" s="244">
        <v>6.3E-3</v>
      </c>
      <c r="K24" s="244">
        <v>4.1999999999999997E-3</v>
      </c>
      <c r="L24" s="252">
        <v>0.12</v>
      </c>
      <c r="M24" s="242">
        <v>10</v>
      </c>
      <c r="N24" s="241">
        <v>19</v>
      </c>
      <c r="O24" s="244">
        <v>7.4</v>
      </c>
      <c r="P24" s="241">
        <v>3</v>
      </c>
      <c r="Q24" s="241">
        <v>49</v>
      </c>
      <c r="R24" s="241">
        <v>0.61</v>
      </c>
      <c r="S24" s="241">
        <v>2.2000000000000002</v>
      </c>
      <c r="T24" s="241">
        <v>3.7999999999999999E-2</v>
      </c>
      <c r="U24" s="241">
        <v>2.4</v>
      </c>
      <c r="V24" s="241">
        <v>0.21</v>
      </c>
      <c r="W24" s="241">
        <v>3.1</v>
      </c>
      <c r="X24" s="241">
        <v>2.1999999999999999E-2</v>
      </c>
      <c r="Y24" s="241">
        <v>9.7000000000000003E-2</v>
      </c>
      <c r="Z24" s="241">
        <v>0.54</v>
      </c>
      <c r="AA24" s="241">
        <v>1.8</v>
      </c>
      <c r="AB24" s="241">
        <v>0.11</v>
      </c>
      <c r="AC24" s="241">
        <v>0.34</v>
      </c>
      <c r="AD24" s="241">
        <v>0.49</v>
      </c>
      <c r="AE24" s="241">
        <v>6.9000000000000006E-2</v>
      </c>
      <c r="AF24" s="241">
        <v>2.1000000000000001E-2</v>
      </c>
      <c r="AG24" s="241">
        <v>2.8000000000000001E-2</v>
      </c>
      <c r="AH24" s="241">
        <v>0.42</v>
      </c>
      <c r="AI24" s="241">
        <v>0.11</v>
      </c>
      <c r="AJ24" s="241">
        <v>1.2999999999999999E-2</v>
      </c>
      <c r="AK24" s="241">
        <v>4.3999999999999997E-2</v>
      </c>
      <c r="AL24" s="245">
        <v>2.1999999999999999E-2</v>
      </c>
      <c r="AM24" s="245">
        <v>0.18</v>
      </c>
      <c r="AN24" s="245">
        <v>7.4000000000000003E-3</v>
      </c>
      <c r="AO24" s="245">
        <v>2.7E-2</v>
      </c>
      <c r="AP24" s="241">
        <v>0.15</v>
      </c>
      <c r="AQ24" s="243">
        <v>4.8000000000000001E-2</v>
      </c>
      <c r="AR24" s="240">
        <v>1.2999999999999999E-2</v>
      </c>
      <c r="AS24" s="242">
        <v>7.9000000000000001E-2</v>
      </c>
      <c r="AT24" s="242">
        <v>0.11</v>
      </c>
      <c r="AU24" s="242">
        <v>0.08</v>
      </c>
      <c r="AV24" s="251">
        <v>0</v>
      </c>
      <c r="AW24" s="244">
        <v>0</v>
      </c>
      <c r="AX24" s="245">
        <v>4.1000000000000002E-2</v>
      </c>
      <c r="AY24" s="239">
        <v>0</v>
      </c>
      <c r="AZ24" s="53"/>
      <c r="BA24" s="53"/>
      <c r="BB24" s="5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227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71" priority="6" stopIfTrue="1" operator="notBetween">
      <formula>0.8</formula>
      <formula>1.2</formula>
    </cfRule>
  </conditionalFormatting>
  <conditionalFormatting sqref="BC7:BD20">
    <cfRule type="cellIs" dxfId="70" priority="5" stopIfTrue="1" operator="notBetween">
      <formula>0.9</formula>
      <formula>1.1</formula>
    </cfRule>
  </conditionalFormatting>
  <conditionalFormatting sqref="BP7:BP20">
    <cfRule type="cellIs" dxfId="69" priority="3" stopIfTrue="1" operator="notBetween">
      <formula>0.8</formula>
      <formula>1.2</formula>
    </cfRule>
  </conditionalFormatting>
  <conditionalFormatting sqref="CF7:CF20">
    <cfRule type="cellIs" dxfId="68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I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525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10</v>
      </c>
      <c r="E7" s="28" t="s">
        <v>243</v>
      </c>
      <c r="F7" s="29" t="s">
        <v>526</v>
      </c>
      <c r="G7" s="29">
        <v>3</v>
      </c>
      <c r="H7" s="30">
        <v>0.25</v>
      </c>
      <c r="I7" s="29">
        <v>0.73</v>
      </c>
      <c r="J7" s="29">
        <v>2.7E-2</v>
      </c>
      <c r="K7" s="29">
        <v>1.7999999999999999E-2</v>
      </c>
      <c r="L7" s="26">
        <v>0.23</v>
      </c>
      <c r="M7" s="28">
        <v>130</v>
      </c>
      <c r="N7" s="29">
        <v>68</v>
      </c>
      <c r="O7" s="29">
        <v>220</v>
      </c>
      <c r="P7" s="29">
        <v>43</v>
      </c>
      <c r="Q7" s="29">
        <v>220</v>
      </c>
      <c r="R7" s="29" t="s">
        <v>527</v>
      </c>
      <c r="S7" s="29">
        <v>12</v>
      </c>
      <c r="T7" s="29">
        <v>8.9</v>
      </c>
      <c r="U7" s="29">
        <v>1.4</v>
      </c>
      <c r="V7" s="29">
        <v>5.4</v>
      </c>
      <c r="W7" s="29">
        <v>200</v>
      </c>
      <c r="X7" s="29">
        <v>0.08</v>
      </c>
      <c r="Y7" s="29">
        <v>2.2000000000000002</v>
      </c>
      <c r="Z7" s="29" t="s">
        <v>69</v>
      </c>
      <c r="AA7" s="29">
        <v>22</v>
      </c>
      <c r="AB7" s="29">
        <v>0.12</v>
      </c>
      <c r="AC7" s="29" t="s">
        <v>528</v>
      </c>
      <c r="AD7" s="29">
        <v>0.12</v>
      </c>
      <c r="AE7" s="29">
        <v>9.2999999999999999E-2</v>
      </c>
      <c r="AF7" s="29">
        <v>0.11</v>
      </c>
      <c r="AG7" s="29" t="s">
        <v>298</v>
      </c>
      <c r="AH7" s="29">
        <v>6.8</v>
      </c>
      <c r="AI7" s="29">
        <v>0.25</v>
      </c>
      <c r="AJ7" s="29">
        <v>0.12</v>
      </c>
      <c r="AK7" s="29" t="s">
        <v>222</v>
      </c>
      <c r="AL7" s="27" t="s">
        <v>529</v>
      </c>
      <c r="AM7" s="27" t="s">
        <v>530</v>
      </c>
      <c r="AN7" s="27" t="s">
        <v>470</v>
      </c>
      <c r="AO7" s="27" t="s">
        <v>531</v>
      </c>
      <c r="AP7" s="29">
        <v>5.2</v>
      </c>
      <c r="AQ7" s="27"/>
      <c r="AR7" s="28" t="s">
        <v>257</v>
      </c>
      <c r="AS7" s="30">
        <v>0.39</v>
      </c>
      <c r="AT7" s="30">
        <v>0.35</v>
      </c>
      <c r="AU7" s="30">
        <v>0.13</v>
      </c>
      <c r="AV7" s="30">
        <v>0.21</v>
      </c>
      <c r="AW7" s="30">
        <v>0.28999999999999998</v>
      </c>
      <c r="AX7" s="29">
        <v>0.36</v>
      </c>
      <c r="AY7" s="27">
        <v>1.7999999999999999E-2</v>
      </c>
      <c r="AZ7" s="27">
        <v>1.1000000000000001</v>
      </c>
      <c r="BA7" s="27">
        <v>0.46</v>
      </c>
      <c r="BB7" s="26" t="s">
        <v>304</v>
      </c>
      <c r="BC7" s="619">
        <f>SUM(AR7:AV7)/AZ7</f>
        <v>0.98181818181818181</v>
      </c>
      <c r="BD7" s="610">
        <f>(SUM(AW7:AY7)-AV7)/BA7</f>
        <v>0.99565217391304339</v>
      </c>
      <c r="BF7" s="610" t="e">
        <f>E7/35.5</f>
        <v>#VALUE!</v>
      </c>
      <c r="BG7" s="610" t="e">
        <f>F7/62</f>
        <v>#VALUE!</v>
      </c>
      <c r="BH7" s="610">
        <f>G7/(96/2)</f>
        <v>6.25E-2</v>
      </c>
      <c r="BI7" s="610">
        <f>H7/23</f>
        <v>1.0869565217391304E-2</v>
      </c>
      <c r="BJ7" s="610">
        <f>I7/18</f>
        <v>4.0555555555555553E-2</v>
      </c>
      <c r="BK7" s="610">
        <f>J7/39</f>
        <v>6.9230769230769226E-4</v>
      </c>
      <c r="BL7" s="610">
        <f>K7/(24.3/2)</f>
        <v>1.4814814814814814E-3</v>
      </c>
      <c r="BM7" s="610">
        <f>L7/(40/2)</f>
        <v>1.15E-2</v>
      </c>
      <c r="BN7" s="563" t="e">
        <f>SUM(BF7:BH7)*1000</f>
        <v>#VALUE!</v>
      </c>
      <c r="BO7" s="563">
        <f>SUM(BI7:BM7)*1000</f>
        <v>65.098909946736029</v>
      </c>
      <c r="BP7" s="611" t="e">
        <f>BN7/BO7</f>
        <v>#VALUE!</v>
      </c>
      <c r="BR7" s="564">
        <f>1.375*G7</f>
        <v>4.125</v>
      </c>
      <c r="BS7" s="564" t="e">
        <f>1.29*F7</f>
        <v>#VALUE!</v>
      </c>
      <c r="BT7" s="564">
        <f>2.5*H7</f>
        <v>0.625</v>
      </c>
      <c r="BU7" s="564">
        <f>1.6*AZ7</f>
        <v>1.7600000000000002</v>
      </c>
      <c r="BV7" s="564">
        <f>BA7</f>
        <v>0.46</v>
      </c>
      <c r="BW7" s="564">
        <f>9.19/1000*N7</f>
        <v>0.62492000000000003</v>
      </c>
      <c r="BX7" s="564">
        <f t="shared" ref="BX7:BX20" si="0">Q7/1000*1.4</f>
        <v>0.308</v>
      </c>
      <c r="BY7" s="564">
        <f>W7/1000*1.38</f>
        <v>0.27599999999999997</v>
      </c>
      <c r="BZ7" s="564">
        <f>S7/1000*1.67</f>
        <v>2.0039999999999999E-2</v>
      </c>
      <c r="CA7" s="564" t="e">
        <f>SUM(BR7:BZ7)</f>
        <v>#VALUE!</v>
      </c>
      <c r="CB7" s="611" t="e">
        <f>CA7/D7</f>
        <v>#VALUE!</v>
      </c>
      <c r="CD7" s="610">
        <f>AZ7/(AZ7+BA7)</f>
        <v>0.70512820512820518</v>
      </c>
      <c r="CE7" s="610" t="e">
        <f>BB7/AZ7</f>
        <v>#VALUE!</v>
      </c>
      <c r="CF7" s="610">
        <f t="shared" ref="CF7:CF12" si="1">IF(AW7-AV7&gt;0,AW7-AV7,0)</f>
        <v>7.9999999999999988E-2</v>
      </c>
      <c r="CG7" s="610">
        <f t="shared" ref="CG7:CG12" si="2">IF(AW7-AV7&gt;0,AX7+AY7,AW7+AX7+AY7-AV7)</f>
        <v>0.378</v>
      </c>
    </row>
    <row r="8" spans="2:85" ht="20.149999999999999" customHeight="1" x14ac:dyDescent="0.2">
      <c r="B8" s="31" t="s">
        <v>61</v>
      </c>
      <c r="C8" s="32" t="s">
        <v>199</v>
      </c>
      <c r="D8" s="33">
        <v>9.3000000000000007</v>
      </c>
      <c r="E8" s="34" t="s">
        <v>243</v>
      </c>
      <c r="F8" s="35" t="s">
        <v>526</v>
      </c>
      <c r="G8" s="35">
        <v>3.3</v>
      </c>
      <c r="H8" s="36">
        <v>0.23</v>
      </c>
      <c r="I8" s="35">
        <v>0.87</v>
      </c>
      <c r="J8" s="35">
        <v>3.9E-2</v>
      </c>
      <c r="K8" s="35">
        <v>1.4E-2</v>
      </c>
      <c r="L8" s="32">
        <v>0.05</v>
      </c>
      <c r="M8" s="34">
        <v>180</v>
      </c>
      <c r="N8" s="35">
        <v>28</v>
      </c>
      <c r="O8" s="35">
        <v>56</v>
      </c>
      <c r="P8" s="35">
        <v>46</v>
      </c>
      <c r="Q8" s="35">
        <v>72</v>
      </c>
      <c r="R8" s="35" t="s">
        <v>527</v>
      </c>
      <c r="S8" s="35">
        <v>3.7</v>
      </c>
      <c r="T8" s="35">
        <v>14</v>
      </c>
      <c r="U8" s="35">
        <v>1.9</v>
      </c>
      <c r="V8" s="35">
        <v>4.9000000000000004</v>
      </c>
      <c r="W8" s="35">
        <v>130</v>
      </c>
      <c r="X8" s="35">
        <v>0.17</v>
      </c>
      <c r="Y8" s="35">
        <v>4.2</v>
      </c>
      <c r="Z8" s="35">
        <v>1.8</v>
      </c>
      <c r="AA8" s="35">
        <v>40</v>
      </c>
      <c r="AB8" s="35">
        <v>0.28000000000000003</v>
      </c>
      <c r="AC8" s="35" t="s">
        <v>528</v>
      </c>
      <c r="AD8" s="35">
        <v>0.16</v>
      </c>
      <c r="AE8" s="35">
        <v>1.6</v>
      </c>
      <c r="AF8" s="35">
        <v>0.45</v>
      </c>
      <c r="AG8" s="35">
        <v>2.3E-2</v>
      </c>
      <c r="AH8" s="35">
        <v>2.8</v>
      </c>
      <c r="AI8" s="35">
        <v>0.34</v>
      </c>
      <c r="AJ8" s="35">
        <v>0.15</v>
      </c>
      <c r="AK8" s="35" t="s">
        <v>222</v>
      </c>
      <c r="AL8" s="33" t="s">
        <v>529</v>
      </c>
      <c r="AM8" s="33" t="s">
        <v>530</v>
      </c>
      <c r="AN8" s="33" t="s">
        <v>470</v>
      </c>
      <c r="AO8" s="33" t="s">
        <v>531</v>
      </c>
      <c r="AP8" s="35">
        <v>7.4</v>
      </c>
      <c r="AQ8" s="33"/>
      <c r="AR8" s="34" t="s">
        <v>257</v>
      </c>
      <c r="AS8" s="36">
        <v>0.56999999999999995</v>
      </c>
      <c r="AT8" s="36">
        <v>0.57999999999999996</v>
      </c>
      <c r="AU8" s="36">
        <v>0.25</v>
      </c>
      <c r="AV8" s="36">
        <v>0.62</v>
      </c>
      <c r="AW8" s="36">
        <v>0.92</v>
      </c>
      <c r="AX8" s="35">
        <v>0.56999999999999995</v>
      </c>
      <c r="AY8" s="33">
        <v>4.3999999999999997E-2</v>
      </c>
      <c r="AZ8" s="33">
        <v>2</v>
      </c>
      <c r="BA8" s="33">
        <v>0.91</v>
      </c>
      <c r="BB8" s="32">
        <v>0.98</v>
      </c>
      <c r="BC8" s="619">
        <f t="shared" ref="BC8:BC20" si="3">SUM(AR8:AV8)/AZ8</f>
        <v>1.01</v>
      </c>
      <c r="BD8" s="610">
        <f t="shared" ref="BD8:BD20" si="4">(SUM(AW8:AY8)-AV8)/BA8</f>
        <v>1.0043956043956044</v>
      </c>
      <c r="BF8" s="610" t="e">
        <f t="shared" ref="BF8:BF20" si="5">E8/35.5</f>
        <v>#VALUE!</v>
      </c>
      <c r="BG8" s="610" t="e">
        <f t="shared" ref="BG8:BG20" si="6">F8/62</f>
        <v>#VALUE!</v>
      </c>
      <c r="BH8" s="610">
        <f t="shared" ref="BH8:BH20" si="7">G8/(96/2)</f>
        <v>6.8749999999999992E-2</v>
      </c>
      <c r="BI8" s="610">
        <f t="shared" ref="BI8:BI20" si="8">H8/23</f>
        <v>0.01</v>
      </c>
      <c r="BJ8" s="610">
        <f t="shared" ref="BJ8:BJ20" si="9">I8/18</f>
        <v>4.8333333333333332E-2</v>
      </c>
      <c r="BK8" s="610">
        <f t="shared" ref="BK8:BK20" si="10">J8/39</f>
        <v>1E-3</v>
      </c>
      <c r="BL8" s="610">
        <f t="shared" ref="BL8:BL20" si="11">K8/(24.3/2)</f>
        <v>1.1522633744855968E-3</v>
      </c>
      <c r="BM8" s="610">
        <f t="shared" ref="BM8:BM20" si="12">L8/(40/2)</f>
        <v>2.5000000000000001E-3</v>
      </c>
      <c r="BN8" s="563" t="e">
        <f t="shared" ref="BN8:BN20" si="13">SUM(BF8:BH8)*1000</f>
        <v>#VALUE!</v>
      </c>
      <c r="BO8" s="563">
        <f t="shared" ref="BO8:BO20" si="14">SUM(BI8:BM8)*1000</f>
        <v>62.985596707818935</v>
      </c>
      <c r="BP8" s="611" t="e">
        <f t="shared" ref="BP8:BP20" si="15">BN8/BO8</f>
        <v>#VALUE!</v>
      </c>
      <c r="BR8" s="564">
        <f t="shared" ref="BR8:BR20" si="16">1.375*G8</f>
        <v>4.5374999999999996</v>
      </c>
      <c r="BS8" s="564" t="e">
        <f t="shared" ref="BS8:BS20" si="17">1.29*F8</f>
        <v>#VALUE!</v>
      </c>
      <c r="BT8" s="564">
        <f t="shared" ref="BT8:BT20" si="18">2.5*H8</f>
        <v>0.57500000000000007</v>
      </c>
      <c r="BU8" s="564">
        <f t="shared" ref="BU8:BU20" si="19">1.6*AZ8</f>
        <v>3.2</v>
      </c>
      <c r="BV8" s="564">
        <f t="shared" ref="BV8:BV20" si="20">BA8</f>
        <v>0.91</v>
      </c>
      <c r="BW8" s="564">
        <f t="shared" ref="BW8:BW20" si="21">9.19/1000*N8</f>
        <v>0.25731999999999999</v>
      </c>
      <c r="BX8" s="564">
        <f t="shared" si="0"/>
        <v>0.10079999999999999</v>
      </c>
      <c r="BY8" s="564">
        <f t="shared" ref="BY8:BY20" si="22">W8/1000*1.38</f>
        <v>0.1794</v>
      </c>
      <c r="BZ8" s="564">
        <f t="shared" ref="BZ8:BZ20" si="23">S8/1000*1.67</f>
        <v>6.1789999999999996E-3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0.6872852233676976</v>
      </c>
      <c r="CE8" s="610">
        <f t="shared" ref="CE8:CE20" si="27">BB8/AZ8</f>
        <v>0.49</v>
      </c>
      <c r="CF8" s="610">
        <f t="shared" si="1"/>
        <v>0.30000000000000004</v>
      </c>
      <c r="CG8" s="610">
        <f t="shared" si="2"/>
        <v>0.61399999999999999</v>
      </c>
    </row>
    <row r="9" spans="2:85" ht="20.149999999999999" customHeight="1" x14ac:dyDescent="0.2">
      <c r="B9" s="31" t="s">
        <v>61</v>
      </c>
      <c r="C9" s="37" t="s">
        <v>200</v>
      </c>
      <c r="D9" s="33">
        <v>22.3</v>
      </c>
      <c r="E9" s="34" t="s">
        <v>243</v>
      </c>
      <c r="F9" s="35">
        <v>0.14000000000000001</v>
      </c>
      <c r="G9" s="35">
        <v>5.0999999999999996</v>
      </c>
      <c r="H9" s="36">
        <v>0.12</v>
      </c>
      <c r="I9" s="35">
        <v>1.8</v>
      </c>
      <c r="J9" s="35">
        <v>0.11</v>
      </c>
      <c r="K9" s="35">
        <v>1.2999999999999999E-2</v>
      </c>
      <c r="L9" s="32">
        <v>5.8999999999999997E-2</v>
      </c>
      <c r="M9" s="34">
        <v>150</v>
      </c>
      <c r="N9" s="35">
        <v>29</v>
      </c>
      <c r="O9" s="35">
        <v>85</v>
      </c>
      <c r="P9" s="35">
        <v>150</v>
      </c>
      <c r="Q9" s="35">
        <v>73</v>
      </c>
      <c r="R9" s="35" t="s">
        <v>527</v>
      </c>
      <c r="S9" s="35">
        <v>8.5</v>
      </c>
      <c r="T9" s="35">
        <v>19</v>
      </c>
      <c r="U9" s="35">
        <v>5.2</v>
      </c>
      <c r="V9" s="35">
        <v>11</v>
      </c>
      <c r="W9" s="35">
        <v>250</v>
      </c>
      <c r="X9" s="35">
        <v>0.19</v>
      </c>
      <c r="Y9" s="35">
        <v>5.0999999999999996</v>
      </c>
      <c r="Z9" s="35">
        <v>4.4000000000000004</v>
      </c>
      <c r="AA9" s="35">
        <v>96</v>
      </c>
      <c r="AB9" s="35">
        <v>0.47</v>
      </c>
      <c r="AC9" s="35">
        <v>1.2</v>
      </c>
      <c r="AD9" s="35">
        <v>0.28000000000000003</v>
      </c>
      <c r="AE9" s="35">
        <v>2.4</v>
      </c>
      <c r="AF9" s="35">
        <v>1.2</v>
      </c>
      <c r="AG9" s="35">
        <v>3.4000000000000002E-2</v>
      </c>
      <c r="AH9" s="35">
        <v>4.3</v>
      </c>
      <c r="AI9" s="35">
        <v>0.34</v>
      </c>
      <c r="AJ9" s="35">
        <v>0.18</v>
      </c>
      <c r="AK9" s="35" t="s">
        <v>222</v>
      </c>
      <c r="AL9" s="33" t="s">
        <v>529</v>
      </c>
      <c r="AM9" s="33">
        <v>1.1000000000000001</v>
      </c>
      <c r="AN9" s="33" t="s">
        <v>470</v>
      </c>
      <c r="AO9" s="33" t="s">
        <v>531</v>
      </c>
      <c r="AP9" s="35">
        <v>7.1</v>
      </c>
      <c r="AQ9" s="33"/>
      <c r="AR9" s="34" t="s">
        <v>257</v>
      </c>
      <c r="AS9" s="36">
        <v>1.5</v>
      </c>
      <c r="AT9" s="36">
        <v>1.2</v>
      </c>
      <c r="AU9" s="36">
        <v>0.54</v>
      </c>
      <c r="AV9" s="36">
        <v>1.7</v>
      </c>
      <c r="AW9" s="36">
        <v>3.2</v>
      </c>
      <c r="AX9" s="35">
        <v>0.72</v>
      </c>
      <c r="AY9" s="33">
        <v>7.0000000000000007E-2</v>
      </c>
      <c r="AZ9" s="33">
        <v>4.9000000000000004</v>
      </c>
      <c r="BA9" s="33">
        <v>2.2999999999999998</v>
      </c>
      <c r="BB9" s="32">
        <v>3.3</v>
      </c>
      <c r="BC9" s="619">
        <f t="shared" si="3"/>
        <v>1.0081632653061225</v>
      </c>
      <c r="BD9" s="610">
        <f t="shared" si="4"/>
        <v>0.99565217391304361</v>
      </c>
      <c r="BF9" s="610" t="e">
        <f t="shared" si="5"/>
        <v>#VALUE!</v>
      </c>
      <c r="BG9" s="610">
        <f t="shared" si="6"/>
        <v>2.2580645161290325E-3</v>
      </c>
      <c r="BH9" s="610">
        <f t="shared" si="7"/>
        <v>0.10625</v>
      </c>
      <c r="BI9" s="610">
        <f t="shared" si="8"/>
        <v>5.2173913043478256E-3</v>
      </c>
      <c r="BJ9" s="610">
        <f t="shared" si="9"/>
        <v>0.1</v>
      </c>
      <c r="BK9" s="610">
        <f t="shared" si="10"/>
        <v>2.8205128205128207E-3</v>
      </c>
      <c r="BL9" s="610">
        <f t="shared" si="11"/>
        <v>1.0699588477366254E-3</v>
      </c>
      <c r="BM9" s="610">
        <f t="shared" si="12"/>
        <v>2.9499999999999999E-3</v>
      </c>
      <c r="BN9" s="563" t="e">
        <f t="shared" si="13"/>
        <v>#VALUE!</v>
      </c>
      <c r="BO9" s="563">
        <f t="shared" si="14"/>
        <v>112.05786297259728</v>
      </c>
      <c r="BP9" s="611" t="e">
        <f t="shared" si="15"/>
        <v>#VALUE!</v>
      </c>
      <c r="BR9" s="564">
        <f t="shared" si="16"/>
        <v>7.0124999999999993</v>
      </c>
      <c r="BS9" s="564">
        <f t="shared" si="17"/>
        <v>0.18060000000000001</v>
      </c>
      <c r="BT9" s="564">
        <f t="shared" si="18"/>
        <v>0.3</v>
      </c>
      <c r="BU9" s="564">
        <f t="shared" si="19"/>
        <v>7.8400000000000007</v>
      </c>
      <c r="BV9" s="564">
        <f t="shared" si="20"/>
        <v>2.2999999999999998</v>
      </c>
      <c r="BW9" s="564">
        <f t="shared" si="21"/>
        <v>0.26651000000000002</v>
      </c>
      <c r="BX9" s="564">
        <f t="shared" si="0"/>
        <v>0.10219999999999999</v>
      </c>
      <c r="BY9" s="564">
        <f t="shared" si="22"/>
        <v>0.34499999999999997</v>
      </c>
      <c r="BZ9" s="564">
        <f t="shared" si="23"/>
        <v>1.4195000000000001E-2</v>
      </c>
      <c r="CA9" s="564">
        <f t="shared" si="24"/>
        <v>18.361004999999999</v>
      </c>
      <c r="CB9" s="611">
        <f t="shared" si="25"/>
        <v>0.82336345291479807</v>
      </c>
      <c r="CD9" s="610">
        <f t="shared" si="26"/>
        <v>0.68055555555555558</v>
      </c>
      <c r="CE9" s="610">
        <f t="shared" si="27"/>
        <v>0.6734693877551019</v>
      </c>
      <c r="CF9" s="610">
        <f t="shared" si="1"/>
        <v>1.5000000000000002</v>
      </c>
      <c r="CG9" s="610">
        <f t="shared" si="2"/>
        <v>0.79</v>
      </c>
    </row>
    <row r="10" spans="2:85" ht="20.149999999999999" customHeight="1" x14ac:dyDescent="0.2">
      <c r="B10" s="31" t="s">
        <v>61</v>
      </c>
      <c r="C10" s="32" t="s">
        <v>82</v>
      </c>
      <c r="D10" s="33">
        <v>20.5</v>
      </c>
      <c r="E10" s="34" t="s">
        <v>243</v>
      </c>
      <c r="F10" s="35">
        <v>0.1</v>
      </c>
      <c r="G10" s="35">
        <v>5.2</v>
      </c>
      <c r="H10" s="36">
        <v>0.22</v>
      </c>
      <c r="I10" s="35">
        <v>1.8</v>
      </c>
      <c r="J10" s="35">
        <v>9.8000000000000004E-2</v>
      </c>
      <c r="K10" s="35">
        <v>2.5000000000000001E-2</v>
      </c>
      <c r="L10" s="32">
        <v>6.7000000000000004E-2</v>
      </c>
      <c r="M10" s="34">
        <v>280</v>
      </c>
      <c r="N10" s="35">
        <v>20</v>
      </c>
      <c r="O10" s="35">
        <v>100</v>
      </c>
      <c r="P10" s="35">
        <v>130</v>
      </c>
      <c r="Q10" s="35">
        <v>94</v>
      </c>
      <c r="R10" s="35" t="s">
        <v>527</v>
      </c>
      <c r="S10" s="35">
        <v>7.7</v>
      </c>
      <c r="T10" s="35">
        <v>22</v>
      </c>
      <c r="U10" s="35">
        <v>3.7</v>
      </c>
      <c r="V10" s="35">
        <v>8.1999999999999993</v>
      </c>
      <c r="W10" s="35">
        <v>250</v>
      </c>
      <c r="X10" s="35">
        <v>0.51</v>
      </c>
      <c r="Y10" s="35">
        <v>5.7</v>
      </c>
      <c r="Z10" s="35">
        <v>3</v>
      </c>
      <c r="AA10" s="35">
        <v>42</v>
      </c>
      <c r="AB10" s="35">
        <v>0.32</v>
      </c>
      <c r="AC10" s="35">
        <v>0.73</v>
      </c>
      <c r="AD10" s="35">
        <v>0.2</v>
      </c>
      <c r="AE10" s="35">
        <v>0.98</v>
      </c>
      <c r="AF10" s="35">
        <v>0.68</v>
      </c>
      <c r="AG10" s="35">
        <v>2.3E-2</v>
      </c>
      <c r="AH10" s="35">
        <v>3.8</v>
      </c>
      <c r="AI10" s="35">
        <v>0.25</v>
      </c>
      <c r="AJ10" s="35">
        <v>0.11</v>
      </c>
      <c r="AK10" s="35" t="s">
        <v>222</v>
      </c>
      <c r="AL10" s="33" t="s">
        <v>529</v>
      </c>
      <c r="AM10" s="33">
        <v>0.3</v>
      </c>
      <c r="AN10" s="33" t="s">
        <v>470</v>
      </c>
      <c r="AO10" s="33" t="s">
        <v>531</v>
      </c>
      <c r="AP10" s="35">
        <v>4.9000000000000004</v>
      </c>
      <c r="AQ10" s="33"/>
      <c r="AR10" s="34" t="s">
        <v>257</v>
      </c>
      <c r="AS10" s="36">
        <v>1.4</v>
      </c>
      <c r="AT10" s="36">
        <v>1</v>
      </c>
      <c r="AU10" s="36">
        <v>0.48</v>
      </c>
      <c r="AV10" s="36">
        <v>1.8</v>
      </c>
      <c r="AW10" s="36">
        <v>2.4</v>
      </c>
      <c r="AX10" s="35">
        <v>0.63</v>
      </c>
      <c r="AY10" s="33">
        <v>7.0000000000000007E-2</v>
      </c>
      <c r="AZ10" s="33">
        <v>4.7</v>
      </c>
      <c r="BA10" s="33">
        <v>1.3</v>
      </c>
      <c r="BB10" s="32">
        <v>3.2</v>
      </c>
      <c r="BC10" s="619">
        <f t="shared" si="3"/>
        <v>0.99574468085106371</v>
      </c>
      <c r="BD10" s="610">
        <f t="shared" si="4"/>
        <v>0.99999999999999967</v>
      </c>
      <c r="BF10" s="610" t="e">
        <f t="shared" si="5"/>
        <v>#VALUE!</v>
      </c>
      <c r="BG10" s="610">
        <f t="shared" si="6"/>
        <v>1.6129032258064516E-3</v>
      </c>
      <c r="BH10" s="610">
        <f t="shared" si="7"/>
        <v>0.10833333333333334</v>
      </c>
      <c r="BI10" s="610">
        <f t="shared" si="8"/>
        <v>9.5652173913043474E-3</v>
      </c>
      <c r="BJ10" s="610">
        <f t="shared" si="9"/>
        <v>0.1</v>
      </c>
      <c r="BK10" s="610">
        <f t="shared" si="10"/>
        <v>2.5128205128205129E-3</v>
      </c>
      <c r="BL10" s="610">
        <f t="shared" si="11"/>
        <v>2.05761316872428E-3</v>
      </c>
      <c r="BM10" s="610">
        <f t="shared" si="12"/>
        <v>3.3500000000000001E-3</v>
      </c>
      <c r="BN10" s="563" t="e">
        <f t="shared" si="13"/>
        <v>#VALUE!</v>
      </c>
      <c r="BO10" s="563">
        <f t="shared" si="14"/>
        <v>117.48565107284915</v>
      </c>
      <c r="BP10" s="611" t="e">
        <f t="shared" si="15"/>
        <v>#VALUE!</v>
      </c>
      <c r="BR10" s="564">
        <f t="shared" si="16"/>
        <v>7.15</v>
      </c>
      <c r="BS10" s="564">
        <f t="shared" si="17"/>
        <v>0.129</v>
      </c>
      <c r="BT10" s="564">
        <f t="shared" si="18"/>
        <v>0.55000000000000004</v>
      </c>
      <c r="BU10" s="564">
        <f t="shared" si="19"/>
        <v>7.5200000000000005</v>
      </c>
      <c r="BV10" s="564">
        <f t="shared" si="20"/>
        <v>1.3</v>
      </c>
      <c r="BW10" s="564">
        <f t="shared" si="21"/>
        <v>0.18380000000000002</v>
      </c>
      <c r="BX10" s="564">
        <f t="shared" si="0"/>
        <v>0.13159999999999999</v>
      </c>
      <c r="BY10" s="564">
        <f t="shared" si="22"/>
        <v>0.34499999999999997</v>
      </c>
      <c r="BZ10" s="564">
        <f t="shared" si="23"/>
        <v>1.2859000000000001E-2</v>
      </c>
      <c r="CA10" s="564">
        <f t="shared" si="24"/>
        <v>17.322258999999999</v>
      </c>
      <c r="CB10" s="611">
        <f t="shared" si="25"/>
        <v>0.84498824390243898</v>
      </c>
      <c r="CD10" s="610">
        <f t="shared" si="26"/>
        <v>0.78333333333333333</v>
      </c>
      <c r="CE10" s="610">
        <f t="shared" si="27"/>
        <v>0.68085106382978722</v>
      </c>
      <c r="CF10" s="610">
        <f t="shared" si="1"/>
        <v>0.59999999999999987</v>
      </c>
      <c r="CG10" s="610">
        <f t="shared" si="2"/>
        <v>0.7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32.799999999999997</v>
      </c>
      <c r="E11" s="42" t="s">
        <v>243</v>
      </c>
      <c r="F11" s="43" t="s">
        <v>526</v>
      </c>
      <c r="G11" s="43">
        <v>9.1</v>
      </c>
      <c r="H11" s="44">
        <v>0.13</v>
      </c>
      <c r="I11" s="43">
        <v>3.4</v>
      </c>
      <c r="J11" s="43">
        <v>0.12</v>
      </c>
      <c r="K11" s="43">
        <v>1.6E-2</v>
      </c>
      <c r="L11" s="45">
        <v>4.7E-2</v>
      </c>
      <c r="M11" s="42">
        <v>190</v>
      </c>
      <c r="N11" s="43">
        <v>29</v>
      </c>
      <c r="O11" s="43">
        <v>48</v>
      </c>
      <c r="P11" s="43">
        <v>180</v>
      </c>
      <c r="Q11" s="43">
        <v>77</v>
      </c>
      <c r="R11" s="43" t="s">
        <v>527</v>
      </c>
      <c r="S11" s="43">
        <v>7.7</v>
      </c>
      <c r="T11" s="43">
        <v>24</v>
      </c>
      <c r="U11" s="43">
        <v>3.5</v>
      </c>
      <c r="V11" s="43">
        <v>7.4</v>
      </c>
      <c r="W11" s="43">
        <v>200</v>
      </c>
      <c r="X11" s="43">
        <v>0.17</v>
      </c>
      <c r="Y11" s="43">
        <v>6.2</v>
      </c>
      <c r="Z11" s="43">
        <v>4.3</v>
      </c>
      <c r="AA11" s="43">
        <v>38</v>
      </c>
      <c r="AB11" s="43">
        <v>0.44</v>
      </c>
      <c r="AC11" s="43">
        <v>1.6</v>
      </c>
      <c r="AD11" s="43">
        <v>0.24</v>
      </c>
      <c r="AE11" s="43">
        <v>2</v>
      </c>
      <c r="AF11" s="43">
        <v>0.88</v>
      </c>
      <c r="AG11" s="43">
        <v>4.3999999999999997E-2</v>
      </c>
      <c r="AH11" s="43">
        <v>3.7</v>
      </c>
      <c r="AI11" s="43">
        <v>0.38</v>
      </c>
      <c r="AJ11" s="43">
        <v>0.12</v>
      </c>
      <c r="AK11" s="43" t="s">
        <v>222</v>
      </c>
      <c r="AL11" s="41" t="s">
        <v>529</v>
      </c>
      <c r="AM11" s="41">
        <v>1.1000000000000001</v>
      </c>
      <c r="AN11" s="41" t="s">
        <v>470</v>
      </c>
      <c r="AO11" s="41" t="s">
        <v>531</v>
      </c>
      <c r="AP11" s="43">
        <v>8.9</v>
      </c>
      <c r="AQ11" s="41"/>
      <c r="AR11" s="42" t="s">
        <v>257</v>
      </c>
      <c r="AS11" s="44">
        <v>1.7</v>
      </c>
      <c r="AT11" s="44">
        <v>1.1000000000000001</v>
      </c>
      <c r="AU11" s="44">
        <v>0.48</v>
      </c>
      <c r="AV11" s="44">
        <v>2.5</v>
      </c>
      <c r="AW11" s="44">
        <v>3.5</v>
      </c>
      <c r="AX11" s="43">
        <v>0.82</v>
      </c>
      <c r="AY11" s="41">
        <v>6.8000000000000005E-2</v>
      </c>
      <c r="AZ11" s="41">
        <v>5.8</v>
      </c>
      <c r="BA11" s="41">
        <v>1.9</v>
      </c>
      <c r="BB11" s="45">
        <v>5.3</v>
      </c>
      <c r="BC11" s="620">
        <f t="shared" si="3"/>
        <v>0.99655172413793092</v>
      </c>
      <c r="BD11" s="617">
        <f t="shared" si="4"/>
        <v>0.99368421052631584</v>
      </c>
      <c r="BE11" s="616"/>
      <c r="BF11" s="617" t="e">
        <f t="shared" si="5"/>
        <v>#VALUE!</v>
      </c>
      <c r="BG11" s="617" t="e">
        <f t="shared" si="6"/>
        <v>#VALUE!</v>
      </c>
      <c r="BH11" s="617">
        <f t="shared" si="7"/>
        <v>0.18958333333333333</v>
      </c>
      <c r="BI11" s="617">
        <f t="shared" si="8"/>
        <v>5.6521739130434784E-3</v>
      </c>
      <c r="BJ11" s="617">
        <f t="shared" si="9"/>
        <v>0.18888888888888888</v>
      </c>
      <c r="BK11" s="617">
        <f t="shared" si="10"/>
        <v>3.0769230769230769E-3</v>
      </c>
      <c r="BL11" s="617">
        <f t="shared" si="11"/>
        <v>1.316872427983539E-3</v>
      </c>
      <c r="BM11" s="617">
        <f t="shared" si="12"/>
        <v>2.3500000000000001E-3</v>
      </c>
      <c r="BN11" s="621" t="e">
        <f t="shared" si="13"/>
        <v>#VALUE!</v>
      </c>
      <c r="BO11" s="621">
        <f t="shared" si="14"/>
        <v>201.28485830683897</v>
      </c>
      <c r="BP11" s="618" t="e">
        <f t="shared" si="15"/>
        <v>#VALUE!</v>
      </c>
      <c r="BQ11" s="616"/>
      <c r="BR11" s="615">
        <f t="shared" si="16"/>
        <v>12.512499999999999</v>
      </c>
      <c r="BS11" s="615" t="e">
        <f t="shared" si="17"/>
        <v>#VALUE!</v>
      </c>
      <c r="BT11" s="615">
        <f t="shared" si="18"/>
        <v>0.32500000000000001</v>
      </c>
      <c r="BU11" s="615">
        <f t="shared" si="19"/>
        <v>9.2799999999999994</v>
      </c>
      <c r="BV11" s="615">
        <f t="shared" si="20"/>
        <v>1.9</v>
      </c>
      <c r="BW11" s="615">
        <f t="shared" si="21"/>
        <v>0.26651000000000002</v>
      </c>
      <c r="BX11" s="615">
        <f t="shared" si="0"/>
        <v>0.10779999999999999</v>
      </c>
      <c r="BY11" s="615">
        <f t="shared" si="22"/>
        <v>0.27599999999999997</v>
      </c>
      <c r="BZ11" s="615">
        <f t="shared" si="23"/>
        <v>1.2859000000000001E-2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0.75324675324675328</v>
      </c>
      <c r="CE11" s="617">
        <f t="shared" si="27"/>
        <v>0.91379310344827591</v>
      </c>
      <c r="CF11" s="617">
        <f t="shared" si="1"/>
        <v>1</v>
      </c>
      <c r="CG11" s="617">
        <f t="shared" si="2"/>
        <v>0.8879999999999999</v>
      </c>
    </row>
    <row r="12" spans="2:85" ht="20.149999999999999" customHeight="1" x14ac:dyDescent="0.2">
      <c r="B12" s="31" t="s">
        <v>202</v>
      </c>
      <c r="C12" s="46" t="s">
        <v>203</v>
      </c>
      <c r="D12" s="47">
        <v>16.2</v>
      </c>
      <c r="E12" s="630">
        <f t="shared" ref="E12:E18" si="28">0.5*0.096</f>
        <v>4.8000000000000001E-2</v>
      </c>
      <c r="F12" s="625">
        <f>0.5*0.099</f>
        <v>4.9500000000000002E-2</v>
      </c>
      <c r="G12" s="49">
        <v>4.5</v>
      </c>
      <c r="H12" s="50">
        <v>0.27</v>
      </c>
      <c r="I12" s="49">
        <v>1.3</v>
      </c>
      <c r="J12" s="49">
        <v>6.6000000000000003E-2</v>
      </c>
      <c r="K12" s="49">
        <v>3.2000000000000001E-2</v>
      </c>
      <c r="L12" s="37">
        <v>6.2E-2</v>
      </c>
      <c r="M12" s="48">
        <v>230</v>
      </c>
      <c r="N12" s="625">
        <f>0.5*5.8</f>
        <v>2.9</v>
      </c>
      <c r="O12" s="49">
        <v>66</v>
      </c>
      <c r="P12" s="49">
        <v>97</v>
      </c>
      <c r="Q12" s="49">
        <v>100</v>
      </c>
      <c r="R12" s="625">
        <f t="shared" ref="R12:R18" si="29">0.5*0.1</f>
        <v>0.05</v>
      </c>
      <c r="S12" s="49">
        <v>6.1</v>
      </c>
      <c r="T12" s="49">
        <v>12</v>
      </c>
      <c r="U12" s="49">
        <v>1.2</v>
      </c>
      <c r="V12" s="49">
        <v>5.3</v>
      </c>
      <c r="W12" s="49">
        <v>140</v>
      </c>
      <c r="X12" s="49">
        <v>0.18</v>
      </c>
      <c r="Y12" s="49">
        <v>3.3</v>
      </c>
      <c r="Z12" s="49">
        <v>1.5</v>
      </c>
      <c r="AA12" s="49">
        <v>210</v>
      </c>
      <c r="AB12" s="49">
        <v>0.19</v>
      </c>
      <c r="AC12" s="625">
        <f>0.5*0.58</f>
        <v>0.28999999999999998</v>
      </c>
      <c r="AD12" s="49">
        <v>8.2000000000000003E-2</v>
      </c>
      <c r="AE12" s="49">
        <v>0.24</v>
      </c>
      <c r="AF12" s="49">
        <v>0.18</v>
      </c>
      <c r="AG12" s="625">
        <f>0.5*0.012</f>
        <v>6.0000000000000001E-3</v>
      </c>
      <c r="AH12" s="49">
        <v>1.1000000000000001</v>
      </c>
      <c r="AI12" s="49">
        <v>9.7000000000000003E-2</v>
      </c>
      <c r="AJ12" s="49">
        <v>3.1E-2</v>
      </c>
      <c r="AK12" s="625">
        <f t="shared" ref="AK12:AK18" si="30">0.5*0.013</f>
        <v>6.4999999999999997E-3</v>
      </c>
      <c r="AL12" s="627">
        <f t="shared" ref="AL12:AL18" si="31">0.5*0.16</f>
        <v>0.08</v>
      </c>
      <c r="AM12" s="627">
        <f>0.5*0.06</f>
        <v>0.03</v>
      </c>
      <c r="AN12" s="627">
        <f t="shared" ref="AN12:AN18" si="32">0.5*0.027</f>
        <v>1.35E-2</v>
      </c>
      <c r="AO12" s="627">
        <f>0.5*0.01</f>
        <v>5.0000000000000001E-3</v>
      </c>
      <c r="AP12" s="49">
        <v>5.2</v>
      </c>
      <c r="AQ12" s="47"/>
      <c r="AR12" s="630">
        <f t="shared" ref="AR12:AR18" si="33">0.5*0.04</f>
        <v>0.02</v>
      </c>
      <c r="AS12" s="50">
        <v>0.71</v>
      </c>
      <c r="AT12" s="50">
        <v>0.62</v>
      </c>
      <c r="AU12" s="50">
        <v>0.31</v>
      </c>
      <c r="AV12" s="50">
        <v>1</v>
      </c>
      <c r="AW12" s="50">
        <v>1.2</v>
      </c>
      <c r="AX12" s="49">
        <v>0.63</v>
      </c>
      <c r="AY12" s="47">
        <v>7.3999999999999996E-2</v>
      </c>
      <c r="AZ12" s="47">
        <v>2.6</v>
      </c>
      <c r="BA12" s="47">
        <v>0.9</v>
      </c>
      <c r="BB12" s="37">
        <v>1.7</v>
      </c>
      <c r="BC12" s="619">
        <f t="shared" si="3"/>
        <v>1.023076923076923</v>
      </c>
      <c r="BD12" s="610">
        <f t="shared" si="4"/>
        <v>1.0044444444444445</v>
      </c>
      <c r="BF12" s="610">
        <f t="shared" si="5"/>
        <v>1.352112676056338E-3</v>
      </c>
      <c r="BG12" s="610">
        <f t="shared" si="6"/>
        <v>7.983870967741936E-4</v>
      </c>
      <c r="BH12" s="610">
        <f t="shared" si="7"/>
        <v>9.375E-2</v>
      </c>
      <c r="BI12" s="610">
        <f t="shared" si="8"/>
        <v>1.173913043478261E-2</v>
      </c>
      <c r="BJ12" s="610">
        <f t="shared" si="9"/>
        <v>7.2222222222222229E-2</v>
      </c>
      <c r="BK12" s="610">
        <f t="shared" si="10"/>
        <v>1.6923076923076924E-3</v>
      </c>
      <c r="BL12" s="610">
        <f t="shared" si="11"/>
        <v>2.633744855967078E-3</v>
      </c>
      <c r="BM12" s="610">
        <f t="shared" si="12"/>
        <v>3.0999999999999999E-3</v>
      </c>
      <c r="BN12" s="563">
        <f t="shared" si="13"/>
        <v>95.900499772830543</v>
      </c>
      <c r="BO12" s="563">
        <f t="shared" si="14"/>
        <v>91.38740520527962</v>
      </c>
      <c r="BP12" s="611">
        <f t="shared" si="15"/>
        <v>1.0493842073468806</v>
      </c>
      <c r="BR12" s="564">
        <f t="shared" si="16"/>
        <v>6.1875</v>
      </c>
      <c r="BS12" s="564">
        <f t="shared" si="17"/>
        <v>6.3855000000000009E-2</v>
      </c>
      <c r="BT12" s="564">
        <f t="shared" si="18"/>
        <v>0.67500000000000004</v>
      </c>
      <c r="BU12" s="564">
        <f t="shared" si="19"/>
        <v>4.16</v>
      </c>
      <c r="BV12" s="564">
        <f t="shared" si="20"/>
        <v>0.9</v>
      </c>
      <c r="BW12" s="564">
        <f t="shared" si="21"/>
        <v>2.6651000000000001E-2</v>
      </c>
      <c r="BX12" s="564">
        <f t="shared" si="0"/>
        <v>0.13999999999999999</v>
      </c>
      <c r="BY12" s="564">
        <f t="shared" si="22"/>
        <v>0.19320000000000001</v>
      </c>
      <c r="BZ12" s="564">
        <f t="shared" si="23"/>
        <v>1.0186999999999998E-2</v>
      </c>
      <c r="CA12" s="564">
        <f t="shared" si="24"/>
        <v>12.356393000000001</v>
      </c>
      <c r="CB12" s="611">
        <f t="shared" si="25"/>
        <v>0.7627403086419754</v>
      </c>
      <c r="CC12" s="610"/>
      <c r="CD12" s="610">
        <f t="shared" si="26"/>
        <v>0.74285714285714288</v>
      </c>
      <c r="CE12" s="610">
        <f t="shared" si="27"/>
        <v>0.65384615384615385</v>
      </c>
      <c r="CF12" s="610">
        <f t="shared" si="1"/>
        <v>0.19999999999999996</v>
      </c>
      <c r="CG12" s="610">
        <f t="shared" si="2"/>
        <v>0.70399999999999996</v>
      </c>
    </row>
    <row r="13" spans="2:85" ht="20.149999999999999" customHeight="1" x14ac:dyDescent="0.2">
      <c r="B13" s="31" t="s">
        <v>202</v>
      </c>
      <c r="C13" s="40" t="s">
        <v>204</v>
      </c>
      <c r="D13" s="33">
        <v>23.7</v>
      </c>
      <c r="E13" s="623">
        <f t="shared" si="28"/>
        <v>4.8000000000000001E-2</v>
      </c>
      <c r="F13" s="624">
        <f>0.5*0.099</f>
        <v>4.9500000000000002E-2</v>
      </c>
      <c r="G13" s="35">
        <v>9.1</v>
      </c>
      <c r="H13" s="36">
        <v>0.18</v>
      </c>
      <c r="I13" s="35">
        <v>3.3</v>
      </c>
      <c r="J13" s="35">
        <v>0.12</v>
      </c>
      <c r="K13" s="35">
        <v>2.1000000000000001E-2</v>
      </c>
      <c r="L13" s="32">
        <v>5.7000000000000002E-2</v>
      </c>
      <c r="M13" s="34">
        <v>270</v>
      </c>
      <c r="N13" s="35">
        <v>34</v>
      </c>
      <c r="O13" s="35">
        <v>71</v>
      </c>
      <c r="P13" s="35">
        <v>150</v>
      </c>
      <c r="Q13" s="35">
        <v>67</v>
      </c>
      <c r="R13" s="624">
        <f t="shared" si="29"/>
        <v>0.05</v>
      </c>
      <c r="S13" s="35">
        <v>5.2</v>
      </c>
      <c r="T13" s="35">
        <v>9.5</v>
      </c>
      <c r="U13" s="35">
        <v>1.7</v>
      </c>
      <c r="V13" s="35">
        <v>9.1999999999999993</v>
      </c>
      <c r="W13" s="35">
        <v>180</v>
      </c>
      <c r="X13" s="35">
        <v>5.1999999999999998E-2</v>
      </c>
      <c r="Y13" s="35">
        <v>3</v>
      </c>
      <c r="Z13" s="35">
        <v>4.3</v>
      </c>
      <c r="AA13" s="35">
        <v>35</v>
      </c>
      <c r="AB13" s="35">
        <v>0.86</v>
      </c>
      <c r="AC13" s="35">
        <v>0.73</v>
      </c>
      <c r="AD13" s="35">
        <v>0.3</v>
      </c>
      <c r="AE13" s="35">
        <v>0.73</v>
      </c>
      <c r="AF13" s="35">
        <v>1.1000000000000001</v>
      </c>
      <c r="AG13" s="35">
        <v>3.6999999999999998E-2</v>
      </c>
      <c r="AH13" s="35">
        <v>2.8</v>
      </c>
      <c r="AI13" s="35">
        <v>0.3</v>
      </c>
      <c r="AJ13" s="35">
        <v>0.48</v>
      </c>
      <c r="AK13" s="624">
        <f t="shared" si="30"/>
        <v>6.4999999999999997E-3</v>
      </c>
      <c r="AL13" s="628">
        <f t="shared" si="31"/>
        <v>0.08</v>
      </c>
      <c r="AM13" s="33">
        <v>0.18</v>
      </c>
      <c r="AN13" s="628">
        <f t="shared" si="32"/>
        <v>1.35E-2</v>
      </c>
      <c r="AO13" s="628">
        <f>0.5*0.01</f>
        <v>5.0000000000000001E-3</v>
      </c>
      <c r="AP13" s="35">
        <v>5.0999999999999996</v>
      </c>
      <c r="AQ13" s="33"/>
      <c r="AR13" s="623">
        <f t="shared" si="33"/>
        <v>0.02</v>
      </c>
      <c r="AS13" s="36">
        <v>0.97</v>
      </c>
      <c r="AT13" s="36">
        <v>0.75</v>
      </c>
      <c r="AU13" s="36">
        <v>0.33</v>
      </c>
      <c r="AV13" s="36">
        <v>1.5</v>
      </c>
      <c r="AW13" s="36">
        <v>1.9</v>
      </c>
      <c r="AX13" s="35">
        <v>0.8</v>
      </c>
      <c r="AY13" s="33">
        <v>7.2999999999999995E-2</v>
      </c>
      <c r="AZ13" s="33">
        <v>3.6</v>
      </c>
      <c r="BA13" s="33">
        <v>1.3</v>
      </c>
      <c r="BB13" s="32">
        <v>2.4</v>
      </c>
      <c r="BC13" s="619">
        <f t="shared" si="3"/>
        <v>0.99166666666666659</v>
      </c>
      <c r="BD13" s="610">
        <f t="shared" si="4"/>
        <v>0.97923076923076935</v>
      </c>
      <c r="BF13" s="610">
        <f t="shared" si="5"/>
        <v>1.352112676056338E-3</v>
      </c>
      <c r="BG13" s="610">
        <f t="shared" si="6"/>
        <v>7.983870967741936E-4</v>
      </c>
      <c r="BH13" s="610">
        <f t="shared" si="7"/>
        <v>0.18958333333333333</v>
      </c>
      <c r="BI13" s="610">
        <f t="shared" si="8"/>
        <v>7.826086956521738E-3</v>
      </c>
      <c r="BJ13" s="610">
        <f t="shared" si="9"/>
        <v>0.18333333333333332</v>
      </c>
      <c r="BK13" s="610">
        <f t="shared" si="10"/>
        <v>3.0769230769230769E-3</v>
      </c>
      <c r="BL13" s="610">
        <f t="shared" si="11"/>
        <v>1.7283950617283952E-3</v>
      </c>
      <c r="BM13" s="610">
        <f t="shared" si="12"/>
        <v>2.8500000000000001E-3</v>
      </c>
      <c r="BN13" s="563">
        <f t="shared" si="13"/>
        <v>191.73383310616384</v>
      </c>
      <c r="BO13" s="563">
        <f t="shared" si="14"/>
        <v>198.81473842850653</v>
      </c>
      <c r="BP13" s="611">
        <f t="shared" si="15"/>
        <v>0.9643844044042591</v>
      </c>
      <c r="BR13" s="564">
        <f t="shared" si="16"/>
        <v>12.512499999999999</v>
      </c>
      <c r="BS13" s="564">
        <f t="shared" si="17"/>
        <v>6.3855000000000009E-2</v>
      </c>
      <c r="BT13" s="564">
        <f t="shared" si="18"/>
        <v>0.44999999999999996</v>
      </c>
      <c r="BU13" s="564">
        <f t="shared" si="19"/>
        <v>5.7600000000000007</v>
      </c>
      <c r="BV13" s="564">
        <f t="shared" si="20"/>
        <v>1.3</v>
      </c>
      <c r="BW13" s="564">
        <f t="shared" si="21"/>
        <v>0.31246000000000002</v>
      </c>
      <c r="BX13" s="564">
        <f t="shared" si="0"/>
        <v>9.3799999999999994E-2</v>
      </c>
      <c r="BY13" s="564">
        <f t="shared" si="22"/>
        <v>0.24839999999999998</v>
      </c>
      <c r="BZ13" s="564">
        <f t="shared" si="23"/>
        <v>8.683999999999999E-3</v>
      </c>
      <c r="CA13" s="564">
        <f t="shared" si="24"/>
        <v>20.749699000000003</v>
      </c>
      <c r="CB13" s="611">
        <f t="shared" si="25"/>
        <v>0.87551472573839684</v>
      </c>
      <c r="CC13" s="610"/>
      <c r="CD13" s="610">
        <f t="shared" si="26"/>
        <v>0.73469387755102034</v>
      </c>
      <c r="CE13" s="610">
        <f t="shared" si="27"/>
        <v>0.66666666666666663</v>
      </c>
      <c r="CF13" s="610">
        <f t="shared" ref="CF13:CF20" si="34">IF(AW13-AV13&gt;0,AW13-AV13,0)</f>
        <v>0.39999999999999991</v>
      </c>
      <c r="CG13" s="610">
        <f t="shared" ref="CG13:CG20" si="35">IF(AW13-AV13&gt;0,AX13+AY13,AW13+AX13+AY13-AV13)</f>
        <v>0.873</v>
      </c>
    </row>
    <row r="14" spans="2:85" ht="20.149999999999999" customHeight="1" x14ac:dyDescent="0.2">
      <c r="B14" s="31" t="s">
        <v>202</v>
      </c>
      <c r="C14" s="32" t="s">
        <v>205</v>
      </c>
      <c r="D14" s="33">
        <v>19.3</v>
      </c>
      <c r="E14" s="623">
        <f t="shared" si="28"/>
        <v>4.8000000000000001E-2</v>
      </c>
      <c r="F14" s="624">
        <f>0.5*0.099</f>
        <v>4.9500000000000002E-2</v>
      </c>
      <c r="G14" s="35">
        <v>6.4</v>
      </c>
      <c r="H14" s="36">
        <v>0.13</v>
      </c>
      <c r="I14" s="35">
        <v>2.2999999999999998</v>
      </c>
      <c r="J14" s="35">
        <v>8.8999999999999996E-2</v>
      </c>
      <c r="K14" s="35">
        <v>1.7999999999999999E-2</v>
      </c>
      <c r="L14" s="32">
        <v>6.8000000000000005E-2</v>
      </c>
      <c r="M14" s="34">
        <v>230</v>
      </c>
      <c r="N14" s="35">
        <v>52</v>
      </c>
      <c r="O14" s="35">
        <v>110</v>
      </c>
      <c r="P14" s="35">
        <v>130</v>
      </c>
      <c r="Q14" s="35">
        <v>120</v>
      </c>
      <c r="R14" s="624">
        <f t="shared" si="29"/>
        <v>0.05</v>
      </c>
      <c r="S14" s="35">
        <v>10</v>
      </c>
      <c r="T14" s="35">
        <v>8.1999999999999993</v>
      </c>
      <c r="U14" s="35">
        <v>3.8</v>
      </c>
      <c r="V14" s="35">
        <v>10</v>
      </c>
      <c r="W14" s="35">
        <v>260</v>
      </c>
      <c r="X14" s="35">
        <v>7.0000000000000007E-2</v>
      </c>
      <c r="Y14" s="35">
        <v>2.4</v>
      </c>
      <c r="Z14" s="35">
        <v>3.3</v>
      </c>
      <c r="AA14" s="35">
        <v>24</v>
      </c>
      <c r="AB14" s="35">
        <v>0.46</v>
      </c>
      <c r="AC14" s="624">
        <f>0.5*0.58</f>
        <v>0.28999999999999998</v>
      </c>
      <c r="AD14" s="35">
        <v>0.28999999999999998</v>
      </c>
      <c r="AE14" s="35">
        <v>1.6</v>
      </c>
      <c r="AF14" s="35">
        <v>0.91</v>
      </c>
      <c r="AG14" s="35">
        <v>0.03</v>
      </c>
      <c r="AH14" s="35">
        <v>3.9</v>
      </c>
      <c r="AI14" s="35">
        <v>0.14000000000000001</v>
      </c>
      <c r="AJ14" s="35">
        <v>0.14000000000000001</v>
      </c>
      <c r="AK14" s="624">
        <f t="shared" si="30"/>
        <v>6.4999999999999997E-3</v>
      </c>
      <c r="AL14" s="628">
        <f t="shared" si="31"/>
        <v>0.08</v>
      </c>
      <c r="AM14" s="33">
        <v>1.3</v>
      </c>
      <c r="AN14" s="628">
        <f t="shared" si="32"/>
        <v>1.35E-2</v>
      </c>
      <c r="AO14" s="628">
        <f>0.5*0.01</f>
        <v>5.0000000000000001E-3</v>
      </c>
      <c r="AP14" s="35">
        <v>4.7</v>
      </c>
      <c r="AQ14" s="33"/>
      <c r="AR14" s="623">
        <f t="shared" si="33"/>
        <v>0.02</v>
      </c>
      <c r="AS14" s="36">
        <v>0.9</v>
      </c>
      <c r="AT14" s="36">
        <v>0.71</v>
      </c>
      <c r="AU14" s="36">
        <v>0.34</v>
      </c>
      <c r="AV14" s="36">
        <v>1.3</v>
      </c>
      <c r="AW14" s="36">
        <v>1.7</v>
      </c>
      <c r="AX14" s="35">
        <v>0.73</v>
      </c>
      <c r="AY14" s="33">
        <v>8.1000000000000003E-2</v>
      </c>
      <c r="AZ14" s="33">
        <v>3.3</v>
      </c>
      <c r="BA14" s="33">
        <v>1.2</v>
      </c>
      <c r="BB14" s="32">
        <v>2.2999999999999998</v>
      </c>
      <c r="BC14" s="619">
        <f t="shared" si="3"/>
        <v>0.99090909090909096</v>
      </c>
      <c r="BD14" s="610">
        <f t="shared" si="4"/>
        <v>1.0091666666666663</v>
      </c>
      <c r="BF14" s="610">
        <f t="shared" si="5"/>
        <v>1.352112676056338E-3</v>
      </c>
      <c r="BG14" s="610">
        <f t="shared" si="6"/>
        <v>7.983870967741936E-4</v>
      </c>
      <c r="BH14" s="610">
        <f t="shared" si="7"/>
        <v>0.13333333333333333</v>
      </c>
      <c r="BI14" s="610">
        <f t="shared" si="8"/>
        <v>5.6521739130434784E-3</v>
      </c>
      <c r="BJ14" s="610">
        <f t="shared" si="9"/>
        <v>0.12777777777777777</v>
      </c>
      <c r="BK14" s="610">
        <f t="shared" si="10"/>
        <v>2.2820512820512819E-3</v>
      </c>
      <c r="BL14" s="610">
        <f t="shared" si="11"/>
        <v>1.4814814814814814E-3</v>
      </c>
      <c r="BM14" s="610">
        <f t="shared" si="12"/>
        <v>3.4000000000000002E-3</v>
      </c>
      <c r="BN14" s="563">
        <f t="shared" si="13"/>
        <v>135.48383310616384</v>
      </c>
      <c r="BO14" s="563">
        <f t="shared" si="14"/>
        <v>140.59348445435398</v>
      </c>
      <c r="BP14" s="611">
        <f t="shared" si="15"/>
        <v>0.96365655657500204</v>
      </c>
      <c r="BR14" s="564">
        <f t="shared" si="16"/>
        <v>8.8000000000000007</v>
      </c>
      <c r="BS14" s="564">
        <f t="shared" si="17"/>
        <v>6.3855000000000009E-2</v>
      </c>
      <c r="BT14" s="564">
        <f t="shared" si="18"/>
        <v>0.32500000000000001</v>
      </c>
      <c r="BU14" s="564">
        <f t="shared" si="19"/>
        <v>5.28</v>
      </c>
      <c r="BV14" s="564">
        <f t="shared" si="20"/>
        <v>1.2</v>
      </c>
      <c r="BW14" s="564">
        <f t="shared" si="21"/>
        <v>0.47788000000000003</v>
      </c>
      <c r="BX14" s="564">
        <f t="shared" si="0"/>
        <v>0.16799999999999998</v>
      </c>
      <c r="BY14" s="564">
        <f t="shared" si="22"/>
        <v>0.35880000000000001</v>
      </c>
      <c r="BZ14" s="564">
        <f t="shared" si="23"/>
        <v>1.67E-2</v>
      </c>
      <c r="CA14" s="564">
        <f t="shared" si="24"/>
        <v>16.690234999999998</v>
      </c>
      <c r="CB14" s="611">
        <f t="shared" si="25"/>
        <v>0.86477901554404135</v>
      </c>
      <c r="CC14" s="610"/>
      <c r="CD14" s="610">
        <f t="shared" si="26"/>
        <v>0.73333333333333328</v>
      </c>
      <c r="CE14" s="610">
        <f t="shared" si="27"/>
        <v>0.69696969696969691</v>
      </c>
      <c r="CF14" s="610">
        <f t="shared" si="34"/>
        <v>0.39999999999999991</v>
      </c>
      <c r="CG14" s="610">
        <f t="shared" si="35"/>
        <v>0.81099999999999994</v>
      </c>
    </row>
    <row r="15" spans="2:85" ht="20.149999999999999" customHeight="1" x14ac:dyDescent="0.2">
      <c r="B15" s="31" t="s">
        <v>202</v>
      </c>
      <c r="C15" s="32" t="s">
        <v>206</v>
      </c>
      <c r="D15" s="33">
        <v>27.2</v>
      </c>
      <c r="E15" s="623">
        <f t="shared" si="28"/>
        <v>4.8000000000000001E-2</v>
      </c>
      <c r="F15" s="35">
        <v>0.15</v>
      </c>
      <c r="G15" s="35">
        <v>9</v>
      </c>
      <c r="H15" s="36">
        <v>8.5999999999999993E-2</v>
      </c>
      <c r="I15" s="35">
        <v>3.1</v>
      </c>
      <c r="J15" s="35">
        <v>0.14000000000000001</v>
      </c>
      <c r="K15" s="35">
        <v>1.9E-2</v>
      </c>
      <c r="L15" s="32">
        <v>0.25</v>
      </c>
      <c r="M15" s="34">
        <v>150</v>
      </c>
      <c r="N15" s="35">
        <v>63</v>
      </c>
      <c r="O15" s="35">
        <v>160</v>
      </c>
      <c r="P15" s="35">
        <v>200</v>
      </c>
      <c r="Q15" s="35">
        <v>130</v>
      </c>
      <c r="R15" s="624">
        <f t="shared" si="29"/>
        <v>0.05</v>
      </c>
      <c r="S15" s="35">
        <v>8.6999999999999993</v>
      </c>
      <c r="T15" s="35">
        <v>13</v>
      </c>
      <c r="U15" s="35">
        <v>4</v>
      </c>
      <c r="V15" s="35">
        <v>8.8000000000000007</v>
      </c>
      <c r="W15" s="35">
        <v>250</v>
      </c>
      <c r="X15" s="35">
        <v>0.09</v>
      </c>
      <c r="Y15" s="35">
        <v>4.7</v>
      </c>
      <c r="Z15" s="35">
        <v>3.2</v>
      </c>
      <c r="AA15" s="35">
        <v>28</v>
      </c>
      <c r="AB15" s="35">
        <v>0.55000000000000004</v>
      </c>
      <c r="AC15" s="35">
        <v>1.4</v>
      </c>
      <c r="AD15" s="35">
        <v>0.35</v>
      </c>
      <c r="AE15" s="35">
        <v>1.6</v>
      </c>
      <c r="AF15" s="35">
        <v>0.98</v>
      </c>
      <c r="AG15" s="35">
        <v>5.0999999999999997E-2</v>
      </c>
      <c r="AH15" s="35">
        <v>3.6</v>
      </c>
      <c r="AI15" s="35">
        <v>0.25</v>
      </c>
      <c r="AJ15" s="35">
        <v>0.18</v>
      </c>
      <c r="AK15" s="624">
        <f t="shared" si="30"/>
        <v>6.4999999999999997E-3</v>
      </c>
      <c r="AL15" s="628">
        <f t="shared" si="31"/>
        <v>0.08</v>
      </c>
      <c r="AM15" s="33">
        <v>1.4</v>
      </c>
      <c r="AN15" s="628">
        <f t="shared" si="32"/>
        <v>1.35E-2</v>
      </c>
      <c r="AO15" s="628">
        <f>0.5*0.01</f>
        <v>5.0000000000000001E-3</v>
      </c>
      <c r="AP15" s="35">
        <v>5.6</v>
      </c>
      <c r="AQ15" s="33"/>
      <c r="AR15" s="623">
        <f t="shared" si="33"/>
        <v>0.02</v>
      </c>
      <c r="AS15" s="36">
        <v>1.2</v>
      </c>
      <c r="AT15" s="36">
        <v>0.83</v>
      </c>
      <c r="AU15" s="36">
        <v>0.4</v>
      </c>
      <c r="AV15" s="36">
        <v>1.9</v>
      </c>
      <c r="AW15" s="36">
        <v>2.8</v>
      </c>
      <c r="AX15" s="35">
        <v>0.77</v>
      </c>
      <c r="AY15" s="33">
        <v>6.9000000000000006E-2</v>
      </c>
      <c r="AZ15" s="33">
        <v>4.3</v>
      </c>
      <c r="BA15" s="33">
        <v>1.7</v>
      </c>
      <c r="BB15" s="32">
        <v>2.7</v>
      </c>
      <c r="BC15" s="619">
        <f t="shared" si="3"/>
        <v>1.0116279069767442</v>
      </c>
      <c r="BD15" s="610">
        <f t="shared" si="4"/>
        <v>1.0229411764705882</v>
      </c>
      <c r="BF15" s="610">
        <f t="shared" si="5"/>
        <v>1.352112676056338E-3</v>
      </c>
      <c r="BG15" s="610">
        <f t="shared" si="6"/>
        <v>2.4193548387096775E-3</v>
      </c>
      <c r="BH15" s="610">
        <f t="shared" si="7"/>
        <v>0.1875</v>
      </c>
      <c r="BI15" s="610">
        <f t="shared" si="8"/>
        <v>3.7391304347826086E-3</v>
      </c>
      <c r="BJ15" s="610">
        <f t="shared" si="9"/>
        <v>0.17222222222222222</v>
      </c>
      <c r="BK15" s="610">
        <f t="shared" si="10"/>
        <v>3.5897435897435902E-3</v>
      </c>
      <c r="BL15" s="610">
        <f t="shared" si="11"/>
        <v>1.5637860082304525E-3</v>
      </c>
      <c r="BM15" s="610">
        <f t="shared" si="12"/>
        <v>1.2500000000000001E-2</v>
      </c>
      <c r="BN15" s="563">
        <f t="shared" si="13"/>
        <v>191.27146751476602</v>
      </c>
      <c r="BO15" s="563">
        <f t="shared" si="14"/>
        <v>193.61488225497888</v>
      </c>
      <c r="BP15" s="611">
        <f t="shared" si="15"/>
        <v>0.98789651542836088</v>
      </c>
      <c r="BR15" s="564">
        <f t="shared" si="16"/>
        <v>12.375</v>
      </c>
      <c r="BS15" s="564">
        <f t="shared" si="17"/>
        <v>0.19350000000000001</v>
      </c>
      <c r="BT15" s="564">
        <f t="shared" si="18"/>
        <v>0.21499999999999997</v>
      </c>
      <c r="BU15" s="564">
        <f t="shared" si="19"/>
        <v>6.88</v>
      </c>
      <c r="BV15" s="564">
        <f t="shared" si="20"/>
        <v>1.7</v>
      </c>
      <c r="BW15" s="564">
        <f t="shared" si="21"/>
        <v>0.57896999999999998</v>
      </c>
      <c r="BX15" s="564">
        <f t="shared" si="0"/>
        <v>0.182</v>
      </c>
      <c r="BY15" s="564">
        <f t="shared" si="22"/>
        <v>0.34499999999999997</v>
      </c>
      <c r="BZ15" s="564">
        <f t="shared" si="23"/>
        <v>1.4528999999999999E-2</v>
      </c>
      <c r="CA15" s="564">
        <f t="shared" si="24"/>
        <v>22.483998999999997</v>
      </c>
      <c r="CB15" s="611">
        <f t="shared" si="25"/>
        <v>0.82661761029411751</v>
      </c>
      <c r="CC15" s="610"/>
      <c r="CD15" s="610">
        <f t="shared" si="26"/>
        <v>0.71666666666666667</v>
      </c>
      <c r="CE15" s="610">
        <f t="shared" si="27"/>
        <v>0.62790697674418616</v>
      </c>
      <c r="CF15" s="610">
        <f t="shared" si="34"/>
        <v>0.89999999999999991</v>
      </c>
      <c r="CG15" s="610">
        <f t="shared" si="35"/>
        <v>0.83899999999999997</v>
      </c>
    </row>
    <row r="16" spans="2:85" ht="20.149999999999999" customHeight="1" x14ac:dyDescent="0.2">
      <c r="B16" s="31" t="s">
        <v>202</v>
      </c>
      <c r="C16" s="32" t="s">
        <v>207</v>
      </c>
      <c r="D16" s="33">
        <v>39.700000000000003</v>
      </c>
      <c r="E16" s="623">
        <f t="shared" si="28"/>
        <v>4.8000000000000001E-2</v>
      </c>
      <c r="F16" s="624">
        <f>0.5*0.099</f>
        <v>4.9500000000000002E-2</v>
      </c>
      <c r="G16" s="35">
        <v>15</v>
      </c>
      <c r="H16" s="36">
        <v>0.14000000000000001</v>
      </c>
      <c r="I16" s="35">
        <v>5.4</v>
      </c>
      <c r="J16" s="35">
        <v>0.13</v>
      </c>
      <c r="K16" s="35">
        <v>1.4E-2</v>
      </c>
      <c r="L16" s="32">
        <v>0.12</v>
      </c>
      <c r="M16" s="34">
        <v>280</v>
      </c>
      <c r="N16" s="35">
        <v>140</v>
      </c>
      <c r="O16" s="35">
        <v>280</v>
      </c>
      <c r="P16" s="35">
        <v>200</v>
      </c>
      <c r="Q16" s="35">
        <v>350</v>
      </c>
      <c r="R16" s="624">
        <f t="shared" si="29"/>
        <v>0.05</v>
      </c>
      <c r="S16" s="35">
        <v>20</v>
      </c>
      <c r="T16" s="35">
        <v>29</v>
      </c>
      <c r="U16" s="35">
        <v>3.1</v>
      </c>
      <c r="V16" s="35">
        <v>16</v>
      </c>
      <c r="W16" s="35">
        <v>640</v>
      </c>
      <c r="X16" s="35">
        <v>0.24</v>
      </c>
      <c r="Y16" s="35">
        <v>8.1</v>
      </c>
      <c r="Z16" s="35">
        <v>6.8</v>
      </c>
      <c r="AA16" s="35">
        <v>89</v>
      </c>
      <c r="AB16" s="35">
        <v>1.6</v>
      </c>
      <c r="AC16" s="35">
        <v>2</v>
      </c>
      <c r="AD16" s="35">
        <v>0.68</v>
      </c>
      <c r="AE16" s="35">
        <v>1.1000000000000001</v>
      </c>
      <c r="AF16" s="35">
        <v>1.2</v>
      </c>
      <c r="AG16" s="35">
        <v>0.11</v>
      </c>
      <c r="AH16" s="35">
        <v>5.3</v>
      </c>
      <c r="AI16" s="35">
        <v>0.33</v>
      </c>
      <c r="AJ16" s="35">
        <v>0.26</v>
      </c>
      <c r="AK16" s="624">
        <f t="shared" si="30"/>
        <v>6.4999999999999997E-3</v>
      </c>
      <c r="AL16" s="628">
        <f t="shared" si="31"/>
        <v>0.08</v>
      </c>
      <c r="AM16" s="33">
        <v>0.51</v>
      </c>
      <c r="AN16" s="628">
        <f t="shared" si="32"/>
        <v>1.35E-2</v>
      </c>
      <c r="AO16" s="33">
        <v>1.4E-2</v>
      </c>
      <c r="AP16" s="35">
        <v>14</v>
      </c>
      <c r="AQ16" s="33"/>
      <c r="AR16" s="623">
        <f t="shared" si="33"/>
        <v>0.02</v>
      </c>
      <c r="AS16" s="36">
        <v>1.2</v>
      </c>
      <c r="AT16" s="36">
        <v>0.9</v>
      </c>
      <c r="AU16" s="36">
        <v>0.32</v>
      </c>
      <c r="AV16" s="36">
        <v>1.1000000000000001</v>
      </c>
      <c r="AW16" s="36">
        <v>2.4</v>
      </c>
      <c r="AX16" s="35">
        <v>0.74</v>
      </c>
      <c r="AY16" s="33">
        <v>0.06</v>
      </c>
      <c r="AZ16" s="33">
        <v>3.5</v>
      </c>
      <c r="BA16" s="33">
        <v>2.1</v>
      </c>
      <c r="BB16" s="32">
        <v>2.5</v>
      </c>
      <c r="BC16" s="619">
        <f t="shared" si="3"/>
        <v>1.0114285714285713</v>
      </c>
      <c r="BD16" s="610">
        <f t="shared" si="4"/>
        <v>0.99999999999999978</v>
      </c>
      <c r="BF16" s="610">
        <f t="shared" si="5"/>
        <v>1.352112676056338E-3</v>
      </c>
      <c r="BG16" s="610">
        <f t="shared" si="6"/>
        <v>7.983870967741936E-4</v>
      </c>
      <c r="BH16" s="610">
        <f t="shared" si="7"/>
        <v>0.3125</v>
      </c>
      <c r="BI16" s="610">
        <f t="shared" si="8"/>
        <v>6.0869565217391312E-3</v>
      </c>
      <c r="BJ16" s="610">
        <f t="shared" si="9"/>
        <v>0.30000000000000004</v>
      </c>
      <c r="BK16" s="610">
        <f t="shared" si="10"/>
        <v>3.3333333333333335E-3</v>
      </c>
      <c r="BL16" s="610">
        <f t="shared" si="11"/>
        <v>1.1522633744855968E-3</v>
      </c>
      <c r="BM16" s="610">
        <f t="shared" si="12"/>
        <v>6.0000000000000001E-3</v>
      </c>
      <c r="BN16" s="563">
        <f t="shared" si="13"/>
        <v>314.65049977283053</v>
      </c>
      <c r="BO16" s="563">
        <f t="shared" si="14"/>
        <v>316.57255322955814</v>
      </c>
      <c r="BP16" s="611">
        <f t="shared" si="15"/>
        <v>0.99392855306905314</v>
      </c>
      <c r="BR16" s="564">
        <f t="shared" si="16"/>
        <v>20.625</v>
      </c>
      <c r="BS16" s="564">
        <f t="shared" si="17"/>
        <v>6.3855000000000009E-2</v>
      </c>
      <c r="BT16" s="564">
        <f t="shared" si="18"/>
        <v>0.35000000000000003</v>
      </c>
      <c r="BU16" s="564">
        <f t="shared" si="19"/>
        <v>5.6000000000000005</v>
      </c>
      <c r="BV16" s="564">
        <f t="shared" si="20"/>
        <v>2.1</v>
      </c>
      <c r="BW16" s="564">
        <f t="shared" si="21"/>
        <v>1.2866</v>
      </c>
      <c r="BX16" s="564">
        <f t="shared" si="0"/>
        <v>0.48999999999999994</v>
      </c>
      <c r="BY16" s="564">
        <f t="shared" si="22"/>
        <v>0.88319999999999999</v>
      </c>
      <c r="BZ16" s="564">
        <f t="shared" si="23"/>
        <v>3.3399999999999999E-2</v>
      </c>
      <c r="CA16" s="564">
        <f t="shared" si="24"/>
        <v>31.432055000000002</v>
      </c>
      <c r="CB16" s="611">
        <f t="shared" si="25"/>
        <v>0.79173942065491187</v>
      </c>
      <c r="CC16" s="610"/>
      <c r="CD16" s="610">
        <f t="shared" si="26"/>
        <v>0.625</v>
      </c>
      <c r="CE16" s="610">
        <f t="shared" si="27"/>
        <v>0.7142857142857143</v>
      </c>
      <c r="CF16" s="610">
        <f t="shared" si="34"/>
        <v>1.2999999999999998</v>
      </c>
      <c r="CG16" s="610">
        <f t="shared" si="35"/>
        <v>0.8</v>
      </c>
    </row>
    <row r="17" spans="2:85" ht="20.149999999999999" customHeight="1" x14ac:dyDescent="0.2">
      <c r="B17" s="31" t="s">
        <v>202</v>
      </c>
      <c r="C17" s="32" t="s">
        <v>208</v>
      </c>
      <c r="D17" s="33">
        <v>30.7</v>
      </c>
      <c r="E17" s="623">
        <f t="shared" si="28"/>
        <v>4.8000000000000001E-2</v>
      </c>
      <c r="F17" s="624">
        <f>0.5*0.099</f>
        <v>4.9500000000000002E-2</v>
      </c>
      <c r="G17" s="35">
        <v>17</v>
      </c>
      <c r="H17" s="36">
        <v>0.11</v>
      </c>
      <c r="I17" s="35">
        <v>6.2</v>
      </c>
      <c r="J17" s="35">
        <v>0.14000000000000001</v>
      </c>
      <c r="K17" s="35">
        <v>1.2E-2</v>
      </c>
      <c r="L17" s="32">
        <v>9.7000000000000003E-2</v>
      </c>
      <c r="M17" s="34">
        <v>130</v>
      </c>
      <c r="N17" s="35">
        <v>60</v>
      </c>
      <c r="O17" s="35">
        <v>110</v>
      </c>
      <c r="P17" s="35">
        <v>160</v>
      </c>
      <c r="Q17" s="35">
        <v>98</v>
      </c>
      <c r="R17" s="624">
        <f t="shared" si="29"/>
        <v>0.05</v>
      </c>
      <c r="S17" s="35">
        <v>8.3000000000000007</v>
      </c>
      <c r="T17" s="35">
        <v>21</v>
      </c>
      <c r="U17" s="35">
        <v>1.3</v>
      </c>
      <c r="V17" s="35">
        <v>7.5</v>
      </c>
      <c r="W17" s="35">
        <v>230</v>
      </c>
      <c r="X17" s="35">
        <v>0.18</v>
      </c>
      <c r="Y17" s="35">
        <v>7.1</v>
      </c>
      <c r="Z17" s="35">
        <v>4.2</v>
      </c>
      <c r="AA17" s="35">
        <v>48</v>
      </c>
      <c r="AB17" s="35">
        <v>1.9</v>
      </c>
      <c r="AC17" s="35">
        <v>1.8</v>
      </c>
      <c r="AD17" s="35">
        <v>0.6</v>
      </c>
      <c r="AE17" s="35">
        <v>0.62</v>
      </c>
      <c r="AF17" s="35">
        <v>1.2</v>
      </c>
      <c r="AG17" s="35">
        <v>9.0999999999999998E-2</v>
      </c>
      <c r="AH17" s="35">
        <v>4.2</v>
      </c>
      <c r="AI17" s="35">
        <v>0.22</v>
      </c>
      <c r="AJ17" s="35">
        <v>0.17</v>
      </c>
      <c r="AK17" s="624">
        <f t="shared" si="30"/>
        <v>6.4999999999999997E-3</v>
      </c>
      <c r="AL17" s="628">
        <f t="shared" si="31"/>
        <v>0.08</v>
      </c>
      <c r="AM17" s="33">
        <v>0.3</v>
      </c>
      <c r="AN17" s="628">
        <f t="shared" si="32"/>
        <v>1.35E-2</v>
      </c>
      <c r="AO17" s="628">
        <f>0.5*0.01</f>
        <v>5.0000000000000001E-3</v>
      </c>
      <c r="AP17" s="35">
        <v>12</v>
      </c>
      <c r="AQ17" s="33"/>
      <c r="AR17" s="623">
        <f t="shared" si="33"/>
        <v>0.02</v>
      </c>
      <c r="AS17" s="36">
        <v>1.1000000000000001</v>
      </c>
      <c r="AT17" s="36">
        <v>0.74</v>
      </c>
      <c r="AU17" s="36">
        <v>0.26</v>
      </c>
      <c r="AV17" s="36">
        <v>0.86</v>
      </c>
      <c r="AW17" s="36">
        <v>1.9</v>
      </c>
      <c r="AX17" s="35">
        <v>0.84</v>
      </c>
      <c r="AY17" s="33">
        <v>5.2999999999999999E-2</v>
      </c>
      <c r="AZ17" s="33">
        <v>3</v>
      </c>
      <c r="BA17" s="33">
        <v>1.9</v>
      </c>
      <c r="BB17" s="32">
        <v>2.6</v>
      </c>
      <c r="BC17" s="619">
        <f t="shared" si="3"/>
        <v>0.99333333333333329</v>
      </c>
      <c r="BD17" s="610">
        <f t="shared" si="4"/>
        <v>1.0173684210526315</v>
      </c>
      <c r="BF17" s="610">
        <f t="shared" si="5"/>
        <v>1.352112676056338E-3</v>
      </c>
      <c r="BG17" s="610">
        <f t="shared" si="6"/>
        <v>7.983870967741936E-4</v>
      </c>
      <c r="BH17" s="610">
        <f t="shared" si="7"/>
        <v>0.35416666666666669</v>
      </c>
      <c r="BI17" s="610">
        <f t="shared" si="8"/>
        <v>4.7826086956521737E-3</v>
      </c>
      <c r="BJ17" s="610">
        <f t="shared" si="9"/>
        <v>0.34444444444444444</v>
      </c>
      <c r="BK17" s="610">
        <f t="shared" si="10"/>
        <v>3.5897435897435902E-3</v>
      </c>
      <c r="BL17" s="610">
        <f t="shared" si="11"/>
        <v>9.8765432098765434E-4</v>
      </c>
      <c r="BM17" s="610">
        <f t="shared" si="12"/>
        <v>4.8500000000000001E-3</v>
      </c>
      <c r="BN17" s="563">
        <f t="shared" si="13"/>
        <v>356.31716643949721</v>
      </c>
      <c r="BO17" s="563">
        <f t="shared" si="14"/>
        <v>358.65445105082784</v>
      </c>
      <c r="BP17" s="611">
        <f t="shared" si="15"/>
        <v>0.99348318526514146</v>
      </c>
      <c r="BR17" s="564">
        <f t="shared" si="16"/>
        <v>23.375</v>
      </c>
      <c r="BS17" s="564">
        <f t="shared" si="17"/>
        <v>6.3855000000000009E-2</v>
      </c>
      <c r="BT17" s="564">
        <f t="shared" si="18"/>
        <v>0.27500000000000002</v>
      </c>
      <c r="BU17" s="564">
        <f t="shared" si="19"/>
        <v>4.8000000000000007</v>
      </c>
      <c r="BV17" s="564">
        <f t="shared" si="20"/>
        <v>1.9</v>
      </c>
      <c r="BW17" s="564">
        <f t="shared" si="21"/>
        <v>0.5514</v>
      </c>
      <c r="BX17" s="564">
        <f t="shared" si="0"/>
        <v>0.13719999999999999</v>
      </c>
      <c r="BY17" s="564">
        <f t="shared" si="22"/>
        <v>0.31740000000000002</v>
      </c>
      <c r="BZ17" s="564">
        <f t="shared" si="23"/>
        <v>1.3861E-2</v>
      </c>
      <c r="CA17" s="564">
        <f t="shared" si="24"/>
        <v>31.433715999999997</v>
      </c>
      <c r="CB17" s="611">
        <f t="shared" si="25"/>
        <v>1.0238995439739413</v>
      </c>
      <c r="CC17" s="610"/>
      <c r="CD17" s="610">
        <f t="shared" si="26"/>
        <v>0.61224489795918358</v>
      </c>
      <c r="CE17" s="610">
        <f t="shared" si="27"/>
        <v>0.8666666666666667</v>
      </c>
      <c r="CF17" s="610">
        <f t="shared" si="34"/>
        <v>1.04</v>
      </c>
      <c r="CG17" s="610">
        <f t="shared" si="35"/>
        <v>0.89300000000000002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26.8</v>
      </c>
      <c r="E18" s="631">
        <f t="shared" si="28"/>
        <v>4.8000000000000001E-2</v>
      </c>
      <c r="F18" s="626">
        <f>0.5*0.099</f>
        <v>4.9500000000000002E-2</v>
      </c>
      <c r="G18" s="43">
        <v>14</v>
      </c>
      <c r="H18" s="44">
        <v>0.1</v>
      </c>
      <c r="I18" s="43">
        <v>5.4</v>
      </c>
      <c r="J18" s="43">
        <v>0.16</v>
      </c>
      <c r="K18" s="43">
        <v>1.0999999999999999E-2</v>
      </c>
      <c r="L18" s="45">
        <v>7.4999999999999997E-2</v>
      </c>
      <c r="M18" s="42">
        <v>130</v>
      </c>
      <c r="N18" s="43">
        <v>47</v>
      </c>
      <c r="O18" s="43">
        <v>200</v>
      </c>
      <c r="P18" s="43">
        <v>170</v>
      </c>
      <c r="Q18" s="43">
        <v>150</v>
      </c>
      <c r="R18" s="626">
        <f t="shared" si="29"/>
        <v>0.05</v>
      </c>
      <c r="S18" s="43">
        <v>9.9</v>
      </c>
      <c r="T18" s="43">
        <v>13</v>
      </c>
      <c r="U18" s="43">
        <v>1.4</v>
      </c>
      <c r="V18" s="43">
        <v>8</v>
      </c>
      <c r="W18" s="43">
        <v>280</v>
      </c>
      <c r="X18" s="43">
        <v>0.28000000000000003</v>
      </c>
      <c r="Y18" s="43">
        <v>4.9000000000000004</v>
      </c>
      <c r="Z18" s="43">
        <v>4.0999999999999996</v>
      </c>
      <c r="AA18" s="43">
        <v>41</v>
      </c>
      <c r="AB18" s="43">
        <v>1.7</v>
      </c>
      <c r="AC18" s="43">
        <v>2</v>
      </c>
      <c r="AD18" s="43">
        <v>0.48</v>
      </c>
      <c r="AE18" s="43">
        <v>0.46</v>
      </c>
      <c r="AF18" s="43">
        <v>0.93</v>
      </c>
      <c r="AG18" s="43">
        <v>6.2E-2</v>
      </c>
      <c r="AH18" s="43">
        <v>3.9</v>
      </c>
      <c r="AI18" s="43">
        <v>0.08</v>
      </c>
      <c r="AJ18" s="43">
        <v>0.1</v>
      </c>
      <c r="AK18" s="626">
        <f t="shared" si="30"/>
        <v>6.4999999999999997E-3</v>
      </c>
      <c r="AL18" s="629">
        <f t="shared" si="31"/>
        <v>0.08</v>
      </c>
      <c r="AM18" s="41">
        <v>0.18</v>
      </c>
      <c r="AN18" s="629">
        <f t="shared" si="32"/>
        <v>1.35E-2</v>
      </c>
      <c r="AO18" s="629">
        <f>0.5*0.01</f>
        <v>5.0000000000000001E-3</v>
      </c>
      <c r="AP18" s="43">
        <v>9.1999999999999993</v>
      </c>
      <c r="AQ18" s="41"/>
      <c r="AR18" s="631">
        <f t="shared" si="33"/>
        <v>0.02</v>
      </c>
      <c r="AS18" s="44">
        <v>1.1000000000000001</v>
      </c>
      <c r="AT18" s="44">
        <v>0.75</v>
      </c>
      <c r="AU18" s="44">
        <v>0.24</v>
      </c>
      <c r="AV18" s="44">
        <v>1</v>
      </c>
      <c r="AW18" s="44">
        <v>1.8</v>
      </c>
      <c r="AX18" s="43">
        <v>0.72</v>
      </c>
      <c r="AY18" s="41">
        <v>5.3999999999999999E-2</v>
      </c>
      <c r="AZ18" s="41">
        <v>3.1</v>
      </c>
      <c r="BA18" s="41">
        <v>1.6</v>
      </c>
      <c r="BB18" s="45">
        <v>2.2000000000000002</v>
      </c>
      <c r="BC18" s="620">
        <f t="shared" si="3"/>
        <v>1.0032258064516131</v>
      </c>
      <c r="BD18" s="617">
        <f t="shared" si="4"/>
        <v>0.9837499999999999</v>
      </c>
      <c r="BE18" s="616"/>
      <c r="BF18" s="617">
        <f t="shared" si="5"/>
        <v>1.352112676056338E-3</v>
      </c>
      <c r="BG18" s="617">
        <f t="shared" si="6"/>
        <v>7.983870967741936E-4</v>
      </c>
      <c r="BH18" s="617">
        <f t="shared" si="7"/>
        <v>0.29166666666666669</v>
      </c>
      <c r="BI18" s="617">
        <f t="shared" si="8"/>
        <v>4.3478260869565218E-3</v>
      </c>
      <c r="BJ18" s="617">
        <f t="shared" si="9"/>
        <v>0.30000000000000004</v>
      </c>
      <c r="BK18" s="617">
        <f t="shared" si="10"/>
        <v>4.1025641025641026E-3</v>
      </c>
      <c r="BL18" s="617">
        <f t="shared" si="11"/>
        <v>9.0534979423868302E-4</v>
      </c>
      <c r="BM18" s="617">
        <f t="shared" si="12"/>
        <v>3.7499999999999999E-3</v>
      </c>
      <c r="BN18" s="621">
        <f t="shared" si="13"/>
        <v>293.81716643949721</v>
      </c>
      <c r="BO18" s="621">
        <f t="shared" si="14"/>
        <v>313.10573998375929</v>
      </c>
      <c r="BP18" s="618">
        <f t="shared" si="15"/>
        <v>0.93839597592409973</v>
      </c>
      <c r="BQ18" s="616"/>
      <c r="BR18" s="615">
        <f t="shared" si="16"/>
        <v>19.25</v>
      </c>
      <c r="BS18" s="615">
        <f t="shared" si="17"/>
        <v>6.3855000000000009E-2</v>
      </c>
      <c r="BT18" s="615">
        <f t="shared" si="18"/>
        <v>0.25</v>
      </c>
      <c r="BU18" s="615">
        <f t="shared" si="19"/>
        <v>4.9600000000000009</v>
      </c>
      <c r="BV18" s="615">
        <f t="shared" si="20"/>
        <v>1.6</v>
      </c>
      <c r="BW18" s="615">
        <f t="shared" si="21"/>
        <v>0.43193000000000004</v>
      </c>
      <c r="BX18" s="615">
        <f t="shared" si="0"/>
        <v>0.21</v>
      </c>
      <c r="BY18" s="615">
        <f t="shared" si="22"/>
        <v>0.38640000000000002</v>
      </c>
      <c r="BZ18" s="615">
        <f t="shared" si="23"/>
        <v>1.6532999999999999E-2</v>
      </c>
      <c r="CA18" s="615">
        <f t="shared" si="24"/>
        <v>27.168718000000002</v>
      </c>
      <c r="CB18" s="618">
        <f t="shared" si="25"/>
        <v>1.0137581343283582</v>
      </c>
      <c r="CC18" s="617"/>
      <c r="CD18" s="617">
        <f t="shared" si="26"/>
        <v>0.65957446808510634</v>
      </c>
      <c r="CE18" s="617">
        <f t="shared" si="27"/>
        <v>0.70967741935483875</v>
      </c>
      <c r="CF18" s="617">
        <f t="shared" si="34"/>
        <v>0.8</v>
      </c>
      <c r="CG18" s="617">
        <f t="shared" si="35"/>
        <v>0.77400000000000002</v>
      </c>
    </row>
    <row r="19" spans="2:85" ht="20.149999999999999" customHeight="1" x14ac:dyDescent="0.2">
      <c r="B19" s="31" t="s">
        <v>61</v>
      </c>
      <c r="C19" s="46" t="s">
        <v>92</v>
      </c>
      <c r="D19" s="47">
        <v>28.9</v>
      </c>
      <c r="E19" s="48" t="s">
        <v>243</v>
      </c>
      <c r="F19" s="49">
        <v>0.11</v>
      </c>
      <c r="G19" s="49">
        <v>13</v>
      </c>
      <c r="H19" s="50">
        <v>0.13</v>
      </c>
      <c r="I19" s="49">
        <v>5.0999999999999996</v>
      </c>
      <c r="J19" s="49">
        <v>0.13</v>
      </c>
      <c r="K19" s="49">
        <v>2.1000000000000001E-2</v>
      </c>
      <c r="L19" s="37">
        <v>0.18</v>
      </c>
      <c r="M19" s="48">
        <v>120</v>
      </c>
      <c r="N19" s="49">
        <v>82</v>
      </c>
      <c r="O19" s="49">
        <v>250</v>
      </c>
      <c r="P19" s="49">
        <v>170</v>
      </c>
      <c r="Q19" s="49">
        <v>160</v>
      </c>
      <c r="R19" s="49" t="s">
        <v>527</v>
      </c>
      <c r="S19" s="49">
        <v>15</v>
      </c>
      <c r="T19" s="49">
        <v>14</v>
      </c>
      <c r="U19" s="49">
        <v>1.4</v>
      </c>
      <c r="V19" s="49">
        <v>12</v>
      </c>
      <c r="W19" s="49">
        <v>290</v>
      </c>
      <c r="X19" s="49">
        <v>0.19</v>
      </c>
      <c r="Y19" s="49">
        <v>4.5999999999999996</v>
      </c>
      <c r="Z19" s="49">
        <v>6.3</v>
      </c>
      <c r="AA19" s="49">
        <v>110</v>
      </c>
      <c r="AB19" s="49">
        <v>1.9</v>
      </c>
      <c r="AC19" s="49">
        <v>2</v>
      </c>
      <c r="AD19" s="49">
        <v>0.56999999999999995</v>
      </c>
      <c r="AE19" s="49">
        <v>0.43</v>
      </c>
      <c r="AF19" s="49">
        <v>1.1000000000000001</v>
      </c>
      <c r="AG19" s="49">
        <v>7.3999999999999996E-2</v>
      </c>
      <c r="AH19" s="49">
        <v>3.6</v>
      </c>
      <c r="AI19" s="49">
        <v>0.2</v>
      </c>
      <c r="AJ19" s="49">
        <v>0.15</v>
      </c>
      <c r="AK19" s="49" t="s">
        <v>222</v>
      </c>
      <c r="AL19" s="47" t="s">
        <v>529</v>
      </c>
      <c r="AM19" s="47">
        <v>0.16</v>
      </c>
      <c r="AN19" s="47" t="s">
        <v>470</v>
      </c>
      <c r="AO19" s="47" t="s">
        <v>531</v>
      </c>
      <c r="AP19" s="49">
        <v>9.4</v>
      </c>
      <c r="AQ19" s="47"/>
      <c r="AR19" s="48" t="s">
        <v>257</v>
      </c>
      <c r="AS19" s="50">
        <v>0.77</v>
      </c>
      <c r="AT19" s="50">
        <v>0.65</v>
      </c>
      <c r="AU19" s="50">
        <v>0.23</v>
      </c>
      <c r="AV19" s="50">
        <v>0.94</v>
      </c>
      <c r="AW19" s="50">
        <v>1.5</v>
      </c>
      <c r="AX19" s="49">
        <v>0.9</v>
      </c>
      <c r="AY19" s="47">
        <v>9.0999999999999998E-2</v>
      </c>
      <c r="AZ19" s="47">
        <v>2.6</v>
      </c>
      <c r="BA19" s="47">
        <v>1.6</v>
      </c>
      <c r="BB19" s="37">
        <v>1.3</v>
      </c>
      <c r="BC19" s="619">
        <f t="shared" si="3"/>
        <v>0.99615384615384606</v>
      </c>
      <c r="BD19" s="610">
        <f t="shared" si="4"/>
        <v>0.9693750000000001</v>
      </c>
      <c r="BF19" s="610" t="e">
        <f t="shared" si="5"/>
        <v>#VALUE!</v>
      </c>
      <c r="BG19" s="610">
        <f t="shared" si="6"/>
        <v>1.7741935483870969E-3</v>
      </c>
      <c r="BH19" s="610">
        <f t="shared" si="7"/>
        <v>0.27083333333333331</v>
      </c>
      <c r="BI19" s="610">
        <f t="shared" si="8"/>
        <v>5.6521739130434784E-3</v>
      </c>
      <c r="BJ19" s="610">
        <f t="shared" si="9"/>
        <v>0.28333333333333333</v>
      </c>
      <c r="BK19" s="610">
        <f t="shared" si="10"/>
        <v>3.3333333333333335E-3</v>
      </c>
      <c r="BL19" s="610">
        <f t="shared" si="11"/>
        <v>1.7283950617283952E-3</v>
      </c>
      <c r="BM19" s="610">
        <f t="shared" si="12"/>
        <v>8.9999999999999993E-3</v>
      </c>
      <c r="BN19" s="563" t="e">
        <f t="shared" si="13"/>
        <v>#VALUE!</v>
      </c>
      <c r="BO19" s="563">
        <f t="shared" si="14"/>
        <v>303.04723564143853</v>
      </c>
      <c r="BP19" s="611" t="e">
        <f t="shared" si="15"/>
        <v>#VALUE!</v>
      </c>
      <c r="BR19" s="564">
        <f t="shared" si="16"/>
        <v>17.875</v>
      </c>
      <c r="BS19" s="564">
        <f t="shared" si="17"/>
        <v>0.1419</v>
      </c>
      <c r="BT19" s="564">
        <f t="shared" si="18"/>
        <v>0.32500000000000001</v>
      </c>
      <c r="BU19" s="564">
        <f t="shared" si="19"/>
        <v>4.16</v>
      </c>
      <c r="BV19" s="564">
        <f t="shared" si="20"/>
        <v>1.6</v>
      </c>
      <c r="BW19" s="564">
        <f t="shared" si="21"/>
        <v>0.75358000000000003</v>
      </c>
      <c r="BX19" s="564">
        <f t="shared" si="0"/>
        <v>0.22399999999999998</v>
      </c>
      <c r="BY19" s="564">
        <f t="shared" si="22"/>
        <v>0.40019999999999994</v>
      </c>
      <c r="BZ19" s="564">
        <f t="shared" si="23"/>
        <v>2.5049999999999999E-2</v>
      </c>
      <c r="CA19" s="564">
        <f t="shared" si="24"/>
        <v>25.504730000000002</v>
      </c>
      <c r="CB19" s="611">
        <f t="shared" si="25"/>
        <v>0.88251660899653994</v>
      </c>
      <c r="CC19" s="610"/>
      <c r="CD19" s="610">
        <f t="shared" si="26"/>
        <v>0.61904761904761907</v>
      </c>
      <c r="CE19" s="610">
        <f t="shared" si="27"/>
        <v>0.5</v>
      </c>
      <c r="CF19" s="610">
        <f t="shared" si="34"/>
        <v>0.56000000000000005</v>
      </c>
      <c r="CG19" s="610">
        <f t="shared" si="35"/>
        <v>0.99099999999999999</v>
      </c>
    </row>
    <row r="20" spans="2:85" ht="20.149999999999999" customHeight="1" x14ac:dyDescent="0.2">
      <c r="B20" s="21" t="s">
        <v>61</v>
      </c>
      <c r="C20" s="52" t="s">
        <v>210</v>
      </c>
      <c r="D20" s="53">
        <v>15.1</v>
      </c>
      <c r="E20" s="54" t="s">
        <v>243</v>
      </c>
      <c r="F20" s="55" t="s">
        <v>526</v>
      </c>
      <c r="G20" s="55">
        <v>4.5</v>
      </c>
      <c r="H20" s="56">
        <v>0.13</v>
      </c>
      <c r="I20" s="55">
        <v>1.5</v>
      </c>
      <c r="J20" s="55">
        <v>5.7000000000000002E-2</v>
      </c>
      <c r="K20" s="55">
        <v>1.6E-2</v>
      </c>
      <c r="L20" s="52">
        <v>0.11</v>
      </c>
      <c r="M20" s="54">
        <v>200</v>
      </c>
      <c r="N20" s="55">
        <v>83</v>
      </c>
      <c r="O20" s="55">
        <v>260</v>
      </c>
      <c r="P20" s="55">
        <v>90</v>
      </c>
      <c r="Q20" s="55">
        <v>180</v>
      </c>
      <c r="R20" s="55" t="s">
        <v>527</v>
      </c>
      <c r="S20" s="55">
        <v>14</v>
      </c>
      <c r="T20" s="55">
        <v>15</v>
      </c>
      <c r="U20" s="55">
        <v>1.2</v>
      </c>
      <c r="V20" s="55">
        <v>8.4</v>
      </c>
      <c r="W20" s="55">
        <v>330</v>
      </c>
      <c r="X20" s="55">
        <v>0.21</v>
      </c>
      <c r="Y20" s="55">
        <v>4.2</v>
      </c>
      <c r="Z20" s="55">
        <v>2.9</v>
      </c>
      <c r="AA20" s="55">
        <v>89</v>
      </c>
      <c r="AB20" s="55">
        <v>0.63</v>
      </c>
      <c r="AC20" s="55" t="s">
        <v>528</v>
      </c>
      <c r="AD20" s="55">
        <v>0.28000000000000003</v>
      </c>
      <c r="AE20" s="55">
        <v>0.22</v>
      </c>
      <c r="AF20" s="55">
        <v>0.53</v>
      </c>
      <c r="AG20" s="55">
        <v>3.4000000000000002E-2</v>
      </c>
      <c r="AH20" s="55">
        <v>5</v>
      </c>
      <c r="AI20" s="55">
        <v>0.18</v>
      </c>
      <c r="AJ20" s="55">
        <v>0.12</v>
      </c>
      <c r="AK20" s="55" t="s">
        <v>222</v>
      </c>
      <c r="AL20" s="53" t="s">
        <v>529</v>
      </c>
      <c r="AM20" s="53">
        <v>0.25</v>
      </c>
      <c r="AN20" s="53" t="s">
        <v>470</v>
      </c>
      <c r="AO20" s="53" t="s">
        <v>531</v>
      </c>
      <c r="AP20" s="55">
        <v>7.1</v>
      </c>
      <c r="AQ20" s="53"/>
      <c r="AR20" s="54" t="s">
        <v>257</v>
      </c>
      <c r="AS20" s="56">
        <v>0.46</v>
      </c>
      <c r="AT20" s="56">
        <v>0.41</v>
      </c>
      <c r="AU20" s="56">
        <v>0.18</v>
      </c>
      <c r="AV20" s="56">
        <v>0.83</v>
      </c>
      <c r="AW20" s="56">
        <v>0.88</v>
      </c>
      <c r="AX20" s="55">
        <v>0.69</v>
      </c>
      <c r="AY20" s="53">
        <v>8.6999999999999994E-2</v>
      </c>
      <c r="AZ20" s="53">
        <v>1.9</v>
      </c>
      <c r="BA20" s="53">
        <v>0.83</v>
      </c>
      <c r="BB20" s="52">
        <v>0.75</v>
      </c>
      <c r="BC20" s="619">
        <f t="shared" si="3"/>
        <v>0.98947368421052628</v>
      </c>
      <c r="BD20" s="610">
        <f t="shared" si="4"/>
        <v>0.99638554216867459</v>
      </c>
      <c r="BF20" s="610" t="e">
        <f t="shared" si="5"/>
        <v>#VALUE!</v>
      </c>
      <c r="BG20" s="610" t="e">
        <f t="shared" si="6"/>
        <v>#VALUE!</v>
      </c>
      <c r="BH20" s="610">
        <f t="shared" si="7"/>
        <v>9.375E-2</v>
      </c>
      <c r="BI20" s="610">
        <f t="shared" si="8"/>
        <v>5.6521739130434784E-3</v>
      </c>
      <c r="BJ20" s="610">
        <f t="shared" si="9"/>
        <v>8.3333333333333329E-2</v>
      </c>
      <c r="BK20" s="610">
        <f t="shared" si="10"/>
        <v>1.4615384615384616E-3</v>
      </c>
      <c r="BL20" s="610">
        <f t="shared" si="11"/>
        <v>1.316872427983539E-3</v>
      </c>
      <c r="BM20" s="610">
        <f t="shared" si="12"/>
        <v>5.4999999999999997E-3</v>
      </c>
      <c r="BN20" s="563" t="e">
        <f t="shared" si="13"/>
        <v>#VALUE!</v>
      </c>
      <c r="BO20" s="563">
        <f t="shared" si="14"/>
        <v>97.263918135898805</v>
      </c>
      <c r="BP20" s="611" t="e">
        <f t="shared" si="15"/>
        <v>#VALUE!</v>
      </c>
      <c r="BR20" s="564">
        <f t="shared" si="16"/>
        <v>6.1875</v>
      </c>
      <c r="BS20" s="564" t="e">
        <f t="shared" si="17"/>
        <v>#VALUE!</v>
      </c>
      <c r="BT20" s="564">
        <f t="shared" si="18"/>
        <v>0.32500000000000001</v>
      </c>
      <c r="BU20" s="564">
        <f t="shared" si="19"/>
        <v>3.04</v>
      </c>
      <c r="BV20" s="564">
        <f t="shared" si="20"/>
        <v>0.83</v>
      </c>
      <c r="BW20" s="564">
        <f t="shared" si="21"/>
        <v>0.76277000000000006</v>
      </c>
      <c r="BX20" s="564">
        <f t="shared" si="0"/>
        <v>0.252</v>
      </c>
      <c r="BY20" s="564">
        <f t="shared" si="22"/>
        <v>0.45539999999999997</v>
      </c>
      <c r="BZ20" s="564">
        <f t="shared" si="23"/>
        <v>2.3379999999999998E-2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0.69597069597069594</v>
      </c>
      <c r="CE20" s="610">
        <f t="shared" si="27"/>
        <v>0.39473684210526316</v>
      </c>
      <c r="CF20" s="610">
        <f t="shared" si="34"/>
        <v>5.0000000000000044E-2</v>
      </c>
      <c r="CG20" s="610">
        <f t="shared" si="35"/>
        <v>0.77699999999999991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26.228571428571431</v>
      </c>
      <c r="E21" s="541">
        <f t="shared" ref="E21:BB21" si="36">AVERAGE(E12:E18)</f>
        <v>4.7999999999999994E-2</v>
      </c>
      <c r="F21" s="541">
        <f t="shared" si="36"/>
        <v>6.3857142857142848E-2</v>
      </c>
      <c r="G21" s="540">
        <f t="shared" si="36"/>
        <v>10.714285714285714</v>
      </c>
      <c r="H21" s="541">
        <f t="shared" si="36"/>
        <v>0.14514285714285716</v>
      </c>
      <c r="I21" s="540">
        <f t="shared" si="36"/>
        <v>3.8571428571428572</v>
      </c>
      <c r="J21" s="541">
        <f t="shared" si="36"/>
        <v>0.12071428571428573</v>
      </c>
      <c r="K21" s="541">
        <f t="shared" si="36"/>
        <v>1.8142857142857145E-2</v>
      </c>
      <c r="L21" s="541">
        <f t="shared" si="36"/>
        <v>0.10414285714285712</v>
      </c>
      <c r="M21" s="540">
        <f t="shared" si="36"/>
        <v>202.85714285714286</v>
      </c>
      <c r="N21" s="540">
        <f t="shared" si="36"/>
        <v>56.98571428571428</v>
      </c>
      <c r="O21" s="540">
        <f t="shared" si="36"/>
        <v>142.42857142857142</v>
      </c>
      <c r="P21" s="540">
        <f t="shared" si="36"/>
        <v>158.14285714285714</v>
      </c>
      <c r="Q21" s="540">
        <f t="shared" si="36"/>
        <v>145</v>
      </c>
      <c r="R21" s="540">
        <f t="shared" si="36"/>
        <v>4.9999999999999996E-2</v>
      </c>
      <c r="S21" s="540">
        <f t="shared" si="36"/>
        <v>9.7428571428571438</v>
      </c>
      <c r="T21" s="540">
        <f t="shared" si="36"/>
        <v>15.1</v>
      </c>
      <c r="U21" s="540">
        <f t="shared" si="36"/>
        <v>2.3571428571428572</v>
      </c>
      <c r="V21" s="540">
        <f t="shared" si="36"/>
        <v>9.2571428571428562</v>
      </c>
      <c r="W21" s="540">
        <f t="shared" si="36"/>
        <v>282.85714285714283</v>
      </c>
      <c r="X21" s="540">
        <f t="shared" si="36"/>
        <v>0.156</v>
      </c>
      <c r="Y21" s="540">
        <f t="shared" si="36"/>
        <v>4.7857142857142856</v>
      </c>
      <c r="Z21" s="540">
        <f t="shared" si="36"/>
        <v>3.9142857142857141</v>
      </c>
      <c r="AA21" s="540">
        <f t="shared" si="36"/>
        <v>67.857142857142861</v>
      </c>
      <c r="AB21" s="540">
        <f t="shared" si="36"/>
        <v>1.0371428571428571</v>
      </c>
      <c r="AC21" s="541">
        <f t="shared" si="36"/>
        <v>1.2157142857142857</v>
      </c>
      <c r="AD21" s="541">
        <f t="shared" si="36"/>
        <v>0.39742857142857141</v>
      </c>
      <c r="AE21" s="541">
        <f t="shared" si="36"/>
        <v>0.90714285714285714</v>
      </c>
      <c r="AF21" s="541">
        <f t="shared" si="36"/>
        <v>0.9285714285714286</v>
      </c>
      <c r="AG21" s="541">
        <f t="shared" si="36"/>
        <v>5.5285714285714278E-2</v>
      </c>
      <c r="AH21" s="541">
        <f t="shared" si="36"/>
        <v>3.5428571428571423</v>
      </c>
      <c r="AI21" s="541">
        <f t="shared" si="36"/>
        <v>0.20242857142857143</v>
      </c>
      <c r="AJ21" s="541">
        <f t="shared" si="36"/>
        <v>0.19442857142857142</v>
      </c>
      <c r="AK21" s="541">
        <f t="shared" si="36"/>
        <v>6.4999999999999997E-3</v>
      </c>
      <c r="AL21" s="541">
        <f t="shared" si="36"/>
        <v>0.08</v>
      </c>
      <c r="AM21" s="541">
        <f t="shared" si="36"/>
        <v>0.55714285714285716</v>
      </c>
      <c r="AN21" s="541">
        <f t="shared" si="36"/>
        <v>1.35E-2</v>
      </c>
      <c r="AO21" s="541">
        <f t="shared" si="36"/>
        <v>6.2857142857142851E-3</v>
      </c>
      <c r="AP21" s="541">
        <f t="shared" si="36"/>
        <v>7.9714285714285706</v>
      </c>
      <c r="AQ21" s="541" t="e">
        <f t="shared" si="36"/>
        <v>#DIV/0!</v>
      </c>
      <c r="AR21" s="540">
        <f t="shared" si="36"/>
        <v>0.02</v>
      </c>
      <c r="AS21" s="540">
        <f t="shared" si="36"/>
        <v>1.0257142857142856</v>
      </c>
      <c r="AT21" s="540">
        <f t="shared" si="36"/>
        <v>0.75714285714285712</v>
      </c>
      <c r="AU21" s="540">
        <f t="shared" si="36"/>
        <v>0.31428571428571433</v>
      </c>
      <c r="AV21" s="540">
        <f t="shared" si="36"/>
        <v>1.2371428571428571</v>
      </c>
      <c r="AW21" s="540">
        <f t="shared" si="36"/>
        <v>1.9571428571428573</v>
      </c>
      <c r="AX21" s="540">
        <f t="shared" si="36"/>
        <v>0.74714285714285711</v>
      </c>
      <c r="AY21" s="540">
        <f t="shared" si="36"/>
        <v>6.6285714285714281E-2</v>
      </c>
      <c r="AZ21" s="540">
        <f t="shared" si="36"/>
        <v>3.342857142857143</v>
      </c>
      <c r="BA21" s="540">
        <f t="shared" si="36"/>
        <v>1.5285714285714287</v>
      </c>
      <c r="BB21" s="540">
        <f t="shared" si="36"/>
        <v>2.3428571428571425</v>
      </c>
      <c r="CD21" s="691">
        <f>AVERAGE(CD12:CD18)</f>
        <v>0.68919576949320771</v>
      </c>
      <c r="CE21" s="691">
        <f>AVERAGE(CE12:CE18)</f>
        <v>0.70514561350484617</v>
      </c>
      <c r="CF21" s="691">
        <f>AVERAGE(CF12:CF18)</f>
        <v>0.71999999999999986</v>
      </c>
      <c r="CG21" s="691">
        <f>AVERAGE(CG12:CG18)</f>
        <v>0.81342857142857139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23.035714285714285</v>
      </c>
      <c r="E22" s="545">
        <f t="shared" ref="E22:BB22" si="37">AVERAGE(E7:E20)</f>
        <v>4.7999999999999994E-2</v>
      </c>
      <c r="F22" s="545">
        <f t="shared" si="37"/>
        <v>7.9699999999999993E-2</v>
      </c>
      <c r="G22" s="544">
        <f t="shared" si="37"/>
        <v>8.4428571428571413</v>
      </c>
      <c r="H22" s="545">
        <f t="shared" si="37"/>
        <v>0.159</v>
      </c>
      <c r="I22" s="544">
        <f t="shared" si="37"/>
        <v>3.0142857142857147</v>
      </c>
      <c r="J22" s="545">
        <f t="shared" si="37"/>
        <v>0.10185714285714287</v>
      </c>
      <c r="K22" s="545">
        <f t="shared" si="37"/>
        <v>1.7857142857142856E-2</v>
      </c>
      <c r="L22" s="545">
        <f t="shared" si="37"/>
        <v>0.10514285714285716</v>
      </c>
      <c r="M22" s="544">
        <f t="shared" si="37"/>
        <v>190.71428571428572</v>
      </c>
      <c r="N22" s="544">
        <f t="shared" si="37"/>
        <v>52.707142857142856</v>
      </c>
      <c r="O22" s="544">
        <f t="shared" si="37"/>
        <v>144</v>
      </c>
      <c r="P22" s="544">
        <f t="shared" si="37"/>
        <v>136.85714285714286</v>
      </c>
      <c r="Q22" s="544">
        <f t="shared" si="37"/>
        <v>135.07142857142858</v>
      </c>
      <c r="R22" s="544">
        <f t="shared" si="37"/>
        <v>4.9999999999999996E-2</v>
      </c>
      <c r="S22" s="544">
        <f t="shared" si="37"/>
        <v>9.7714285714285722</v>
      </c>
      <c r="T22" s="544">
        <f t="shared" si="37"/>
        <v>15.900000000000002</v>
      </c>
      <c r="U22" s="544">
        <f t="shared" si="37"/>
        <v>2.4857142857142862</v>
      </c>
      <c r="V22" s="544">
        <f t="shared" si="37"/>
        <v>8.7214285714285715</v>
      </c>
      <c r="W22" s="544">
        <f t="shared" si="37"/>
        <v>259.28571428571428</v>
      </c>
      <c r="X22" s="544">
        <f t="shared" si="37"/>
        <v>0.18657142857142855</v>
      </c>
      <c r="Y22" s="544">
        <f t="shared" si="37"/>
        <v>4.6928571428571431</v>
      </c>
      <c r="Z22" s="544">
        <f t="shared" si="37"/>
        <v>3.8538461538461539</v>
      </c>
      <c r="AA22" s="544">
        <f t="shared" si="37"/>
        <v>65.142857142857139</v>
      </c>
      <c r="AB22" s="544">
        <f t="shared" si="37"/>
        <v>0.81571428571428573</v>
      </c>
      <c r="AC22" s="545">
        <f t="shared" si="37"/>
        <v>1.2763636363636364</v>
      </c>
      <c r="AD22" s="545">
        <f t="shared" si="37"/>
        <v>0.33085714285714291</v>
      </c>
      <c r="AE22" s="545">
        <f t="shared" si="37"/>
        <v>1.0052142857142858</v>
      </c>
      <c r="AF22" s="545">
        <f t="shared" si="37"/>
        <v>0.81785714285714284</v>
      </c>
      <c r="AG22" s="545">
        <f t="shared" si="37"/>
        <v>4.7615384615384608E-2</v>
      </c>
      <c r="AH22" s="545">
        <f t="shared" si="37"/>
        <v>3.9142857142857141</v>
      </c>
      <c r="AI22" s="545">
        <f t="shared" si="37"/>
        <v>0.23978571428571432</v>
      </c>
      <c r="AJ22" s="545">
        <f t="shared" si="37"/>
        <v>0.16507142857142856</v>
      </c>
      <c r="AK22" s="545">
        <f t="shared" si="37"/>
        <v>6.4999999999999997E-3</v>
      </c>
      <c r="AL22" s="545">
        <f t="shared" si="37"/>
        <v>0.08</v>
      </c>
      <c r="AM22" s="545">
        <f t="shared" si="37"/>
        <v>0.5675</v>
      </c>
      <c r="AN22" s="545">
        <f t="shared" si="37"/>
        <v>1.35E-2</v>
      </c>
      <c r="AO22" s="545">
        <f t="shared" si="37"/>
        <v>6.2857142857142851E-3</v>
      </c>
      <c r="AP22" s="545">
        <f t="shared" si="37"/>
        <v>7.5571428571428578</v>
      </c>
      <c r="AQ22" s="545" t="e">
        <f t="shared" si="37"/>
        <v>#DIV/0!</v>
      </c>
      <c r="AR22" s="544">
        <f t="shared" si="37"/>
        <v>0.02</v>
      </c>
      <c r="AS22" s="544">
        <f t="shared" si="37"/>
        <v>0.99785714285714266</v>
      </c>
      <c r="AT22" s="544">
        <f t="shared" si="37"/>
        <v>0.75642857142857156</v>
      </c>
      <c r="AU22" s="544">
        <f t="shared" si="37"/>
        <v>0.32071428571428573</v>
      </c>
      <c r="AV22" s="544">
        <f t="shared" si="37"/>
        <v>1.2328571428571427</v>
      </c>
      <c r="AW22" s="544">
        <f t="shared" si="37"/>
        <v>1.8849999999999998</v>
      </c>
      <c r="AX22" s="544">
        <f t="shared" si="37"/>
        <v>0.70857142857142852</v>
      </c>
      <c r="AY22" s="544">
        <f t="shared" si="37"/>
        <v>6.5142857142857141E-2</v>
      </c>
      <c r="AZ22" s="544">
        <f t="shared" si="37"/>
        <v>3.3142857142857145</v>
      </c>
      <c r="BA22" s="544">
        <f t="shared" si="37"/>
        <v>1.4285714285714286</v>
      </c>
      <c r="BB22" s="544">
        <f t="shared" si="37"/>
        <v>2.4023076923076925</v>
      </c>
      <c r="CD22" s="691">
        <f>AVERAGE(CD7:CD20)</f>
        <v>0.69635269800730804</v>
      </c>
      <c r="CE22" s="691" t="e">
        <f>AVERAGE(CE7:CE20)</f>
        <v>#VALUE!</v>
      </c>
      <c r="CF22" s="691">
        <f>AVERAGE(CF7:CF20)</f>
        <v>0.65214285714285736</v>
      </c>
      <c r="CG22" s="691">
        <f>AVERAGE(CG7:CG20)</f>
        <v>0.77371428571428569</v>
      </c>
    </row>
    <row r="23" spans="2:85" ht="20.149999999999999" customHeight="1" x14ac:dyDescent="0.2">
      <c r="B23" s="704" t="s">
        <v>94</v>
      </c>
      <c r="C23" s="705"/>
      <c r="D23" s="57"/>
      <c r="E23" s="30">
        <v>9.6000000000000002E-2</v>
      </c>
      <c r="F23" s="29">
        <v>9.9000000000000005E-2</v>
      </c>
      <c r="G23" s="29">
        <v>2.8000000000000001E-2</v>
      </c>
      <c r="H23" s="30">
        <v>0.04</v>
      </c>
      <c r="I23" s="29">
        <v>4.4999999999999998E-2</v>
      </c>
      <c r="J23" s="29">
        <v>6.0000000000000001E-3</v>
      </c>
      <c r="K23" s="29">
        <v>3.8E-3</v>
      </c>
      <c r="L23" s="26">
        <v>4.3999999999999997E-2</v>
      </c>
      <c r="M23" s="30">
        <v>5.0999999999999996</v>
      </c>
      <c r="N23" s="29">
        <v>5.8</v>
      </c>
      <c r="O23" s="29">
        <v>8.6</v>
      </c>
      <c r="P23" s="29">
        <v>4.0999999999999996</v>
      </c>
      <c r="Q23" s="29">
        <v>2.4</v>
      </c>
      <c r="R23" s="29">
        <v>0.1</v>
      </c>
      <c r="S23" s="29">
        <v>0.67</v>
      </c>
      <c r="T23" s="29">
        <v>0.51</v>
      </c>
      <c r="U23" s="29">
        <v>0.99</v>
      </c>
      <c r="V23" s="29">
        <v>2.7</v>
      </c>
      <c r="W23" s="29">
        <v>4.3</v>
      </c>
      <c r="X23" s="29">
        <v>2.1999999999999999E-2</v>
      </c>
      <c r="Y23" s="29">
        <v>0.34</v>
      </c>
      <c r="Z23" s="29">
        <v>1.4</v>
      </c>
      <c r="AA23" s="29">
        <v>1.4</v>
      </c>
      <c r="AB23" s="29">
        <v>4.1000000000000002E-2</v>
      </c>
      <c r="AC23" s="29">
        <v>0.57999999999999996</v>
      </c>
      <c r="AD23" s="29">
        <v>0.03</v>
      </c>
      <c r="AE23" s="29">
        <v>6.8000000000000005E-2</v>
      </c>
      <c r="AF23" s="29">
        <v>3.5999999999999997E-2</v>
      </c>
      <c r="AG23" s="29">
        <v>1.2E-2</v>
      </c>
      <c r="AH23" s="29">
        <v>4.3999999999999997E-2</v>
      </c>
      <c r="AI23" s="29">
        <v>9.2999999999999992E-3</v>
      </c>
      <c r="AJ23" s="29">
        <v>0.01</v>
      </c>
      <c r="AK23" s="29">
        <v>1.2999999999999999E-2</v>
      </c>
      <c r="AL23" s="27">
        <v>0.16</v>
      </c>
      <c r="AM23" s="58">
        <v>0.06</v>
      </c>
      <c r="AN23" s="58">
        <v>0.28999999999999998</v>
      </c>
      <c r="AO23" s="58">
        <v>0.01</v>
      </c>
      <c r="AP23" s="59">
        <v>0.87</v>
      </c>
      <c r="AQ23" s="60"/>
      <c r="AR23" s="28">
        <v>0.04</v>
      </c>
      <c r="AS23" s="30">
        <v>0.06</v>
      </c>
      <c r="AT23" s="30">
        <v>5.5E-2</v>
      </c>
      <c r="AU23" s="30">
        <v>7.4999999999999997E-2</v>
      </c>
      <c r="AV23" s="30">
        <v>9.5000000000000001E-2</v>
      </c>
      <c r="AW23" s="29">
        <v>6.5000000000000002E-2</v>
      </c>
      <c r="AX23" s="27">
        <v>2.5000000000000001E-2</v>
      </c>
      <c r="AY23" s="27">
        <v>0.01</v>
      </c>
      <c r="AZ23" s="27"/>
      <c r="BA23" s="27"/>
      <c r="BB23" s="26">
        <v>0.55000000000000004</v>
      </c>
    </row>
    <row r="24" spans="2:85" ht="20.149999999999999" customHeight="1" x14ac:dyDescent="0.2">
      <c r="B24" s="692" t="s">
        <v>95</v>
      </c>
      <c r="C24" s="693"/>
      <c r="D24" s="61"/>
      <c r="E24" s="56">
        <v>0.32</v>
      </c>
      <c r="F24" s="55">
        <v>0.33</v>
      </c>
      <c r="G24" s="55">
        <v>9.2999999999999999E-2</v>
      </c>
      <c r="H24" s="56">
        <v>0.13</v>
      </c>
      <c r="I24" s="55">
        <v>0.15</v>
      </c>
      <c r="J24" s="55">
        <v>0.02</v>
      </c>
      <c r="K24" s="55">
        <v>1.2999999999999999E-2</v>
      </c>
      <c r="L24" s="52">
        <v>0.15</v>
      </c>
      <c r="M24" s="56">
        <v>17</v>
      </c>
      <c r="N24" s="55">
        <v>19</v>
      </c>
      <c r="O24" s="55">
        <v>29</v>
      </c>
      <c r="P24" s="55">
        <v>14</v>
      </c>
      <c r="Q24" s="55">
        <v>7.9</v>
      </c>
      <c r="R24" s="55">
        <v>0.33</v>
      </c>
      <c r="S24" s="55">
        <v>2.2000000000000002</v>
      </c>
      <c r="T24" s="55">
        <v>1.7</v>
      </c>
      <c r="U24" s="55">
        <v>3.3</v>
      </c>
      <c r="V24" s="55">
        <v>9</v>
      </c>
      <c r="W24" s="55">
        <v>14</v>
      </c>
      <c r="X24" s="55">
        <v>7.3999999999999996E-2</v>
      </c>
      <c r="Y24" s="55">
        <v>1.1000000000000001</v>
      </c>
      <c r="Z24" s="55">
        <v>4.8</v>
      </c>
      <c r="AA24" s="55">
        <v>4.5</v>
      </c>
      <c r="AB24" s="55">
        <v>0.14000000000000001</v>
      </c>
      <c r="AC24" s="55">
        <v>1.9</v>
      </c>
      <c r="AD24" s="55">
        <v>0.1</v>
      </c>
      <c r="AE24" s="55">
        <v>0.23</v>
      </c>
      <c r="AF24" s="55">
        <v>0.12</v>
      </c>
      <c r="AG24" s="55">
        <v>4.1000000000000002E-2</v>
      </c>
      <c r="AH24" s="55">
        <v>0.15</v>
      </c>
      <c r="AI24" s="55">
        <v>3.1E-2</v>
      </c>
      <c r="AJ24" s="55">
        <v>3.4000000000000002E-2</v>
      </c>
      <c r="AK24" s="55">
        <v>4.3999999999999997E-2</v>
      </c>
      <c r="AL24" s="53">
        <v>0.54</v>
      </c>
      <c r="AM24" s="53">
        <v>0.2</v>
      </c>
      <c r="AN24" s="53">
        <v>0.95</v>
      </c>
      <c r="AO24" s="53">
        <v>3.5000000000000003E-2</v>
      </c>
      <c r="AP24" s="55">
        <v>2.9</v>
      </c>
      <c r="AQ24" s="52"/>
      <c r="AR24" s="54">
        <v>0.12</v>
      </c>
      <c r="AS24" s="56">
        <v>0.19</v>
      </c>
      <c r="AT24" s="56">
        <v>0.18</v>
      </c>
      <c r="AU24" s="56">
        <v>0.24</v>
      </c>
      <c r="AV24" s="56">
        <v>0.31</v>
      </c>
      <c r="AW24" s="55">
        <v>0.22</v>
      </c>
      <c r="AX24" s="53">
        <v>0.09</v>
      </c>
      <c r="AY24" s="53">
        <v>3.5000000000000003E-2</v>
      </c>
      <c r="AZ24" s="53"/>
      <c r="BA24" s="53"/>
      <c r="BB24" s="52">
        <v>1.8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67" priority="6" stopIfTrue="1" operator="notBetween">
      <formula>0.8</formula>
      <formula>1.2</formula>
    </cfRule>
  </conditionalFormatting>
  <conditionalFormatting sqref="BC7:BD20">
    <cfRule type="cellIs" dxfId="66" priority="5" stopIfTrue="1" operator="notBetween">
      <formula>0.9</formula>
      <formula>1.1</formula>
    </cfRule>
  </conditionalFormatting>
  <conditionalFormatting sqref="BP7:BP20">
    <cfRule type="cellIs" dxfId="65" priority="3" stopIfTrue="1" operator="notBetween">
      <formula>0.8</formula>
      <formula>1.2</formula>
    </cfRule>
  </conditionalFormatting>
  <conditionalFormatting sqref="CF7:CF20">
    <cfRule type="cellIs" dxfId="64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I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544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4.5</v>
      </c>
      <c r="E7" s="28" t="s">
        <v>243</v>
      </c>
      <c r="F7" s="29" t="s">
        <v>526</v>
      </c>
      <c r="G7" s="29">
        <v>1</v>
      </c>
      <c r="H7" s="30">
        <v>0.13</v>
      </c>
      <c r="I7" s="29">
        <v>0.23</v>
      </c>
      <c r="J7" s="29">
        <v>1.0999999999999999E-2</v>
      </c>
      <c r="K7" s="29">
        <v>5.8999999999999999E-3</v>
      </c>
      <c r="L7" s="26" t="s">
        <v>545</v>
      </c>
      <c r="M7" s="28">
        <v>110</v>
      </c>
      <c r="N7" s="29" t="s">
        <v>532</v>
      </c>
      <c r="O7" s="29">
        <v>31</v>
      </c>
      <c r="P7" s="29">
        <v>24</v>
      </c>
      <c r="Q7" s="29">
        <v>16</v>
      </c>
      <c r="R7" s="29" t="s">
        <v>527</v>
      </c>
      <c r="S7" s="29">
        <v>1.9</v>
      </c>
      <c r="T7" s="29">
        <v>2.1</v>
      </c>
      <c r="U7" s="29" t="s">
        <v>540</v>
      </c>
      <c r="V7" s="29" t="s">
        <v>543</v>
      </c>
      <c r="W7" s="29">
        <v>5</v>
      </c>
      <c r="X7" s="29" t="s">
        <v>230</v>
      </c>
      <c r="Y7" s="29">
        <v>0.6</v>
      </c>
      <c r="Z7" s="29" t="s">
        <v>69</v>
      </c>
      <c r="AA7" s="29">
        <v>3.5</v>
      </c>
      <c r="AB7" s="29">
        <v>4.2999999999999997E-2</v>
      </c>
      <c r="AC7" s="29" t="s">
        <v>528</v>
      </c>
      <c r="AD7" s="29" t="s">
        <v>253</v>
      </c>
      <c r="AE7" s="29" t="s">
        <v>541</v>
      </c>
      <c r="AF7" s="29" t="s">
        <v>542</v>
      </c>
      <c r="AG7" s="29" t="s">
        <v>298</v>
      </c>
      <c r="AH7" s="29">
        <v>1.8</v>
      </c>
      <c r="AI7" s="29" t="s">
        <v>546</v>
      </c>
      <c r="AJ7" s="29" t="s">
        <v>531</v>
      </c>
      <c r="AK7" s="29" t="s">
        <v>222</v>
      </c>
      <c r="AL7" s="27" t="s">
        <v>529</v>
      </c>
      <c r="AM7" s="27" t="s">
        <v>530</v>
      </c>
      <c r="AN7" s="27" t="s">
        <v>470</v>
      </c>
      <c r="AO7" s="27" t="s">
        <v>531</v>
      </c>
      <c r="AP7" s="29" t="s">
        <v>547</v>
      </c>
      <c r="AQ7" s="27"/>
      <c r="AR7" s="28" t="s">
        <v>257</v>
      </c>
      <c r="AS7" s="30">
        <v>0.35</v>
      </c>
      <c r="AT7" s="30">
        <v>0.28000000000000003</v>
      </c>
      <c r="AU7" s="30">
        <v>0.1</v>
      </c>
      <c r="AV7" s="30">
        <v>0.11</v>
      </c>
      <c r="AW7" s="30">
        <v>8.4000000000000005E-2</v>
      </c>
      <c r="AX7" s="29">
        <v>0.11</v>
      </c>
      <c r="AY7" s="27">
        <v>0.01</v>
      </c>
      <c r="AZ7" s="27">
        <v>0.84</v>
      </c>
      <c r="BA7" s="27">
        <v>9.4E-2</v>
      </c>
      <c r="BB7" s="26" t="s">
        <v>304</v>
      </c>
      <c r="BC7" s="619">
        <f>SUM(AR7:AV7)/AZ7</f>
        <v>1</v>
      </c>
      <c r="BD7" s="610">
        <f>(SUM(AW7:AY7)-AV7)/BA7</f>
        <v>1.0000000000000002</v>
      </c>
      <c r="BF7" s="610" t="e">
        <f>E7/35.5</f>
        <v>#VALUE!</v>
      </c>
      <c r="BG7" s="610" t="e">
        <f>F7/62</f>
        <v>#VALUE!</v>
      </c>
      <c r="BH7" s="610">
        <f>G7/(96/2)</f>
        <v>2.0833333333333332E-2</v>
      </c>
      <c r="BI7" s="610">
        <f>H7/23</f>
        <v>5.6521739130434784E-3</v>
      </c>
      <c r="BJ7" s="610">
        <f>I7/18</f>
        <v>1.2777777777777779E-2</v>
      </c>
      <c r="BK7" s="610">
        <f>J7/39</f>
        <v>2.8205128205128203E-4</v>
      </c>
      <c r="BL7" s="610">
        <f>K7/(24.3/2)</f>
        <v>4.8559670781893002E-4</v>
      </c>
      <c r="BM7" s="610" t="e">
        <f>L7/(40/2)</f>
        <v>#VALUE!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1.375</v>
      </c>
      <c r="BS7" s="564" t="e">
        <f>1.29*F7</f>
        <v>#VALUE!</v>
      </c>
      <c r="BT7" s="564">
        <f>2.5*H7</f>
        <v>0.32500000000000001</v>
      </c>
      <c r="BU7" s="564">
        <f>1.6*AZ7</f>
        <v>1.3440000000000001</v>
      </c>
      <c r="BV7" s="564">
        <f>BA7</f>
        <v>9.4E-2</v>
      </c>
      <c r="BW7" s="564" t="e">
        <f>9.19/1000*N7</f>
        <v>#VALUE!</v>
      </c>
      <c r="BX7" s="564">
        <f t="shared" ref="BX7:BX20" si="0">Q7/1000*1.4</f>
        <v>2.24E-2</v>
      </c>
      <c r="BY7" s="564">
        <f>W7/1000*1.38</f>
        <v>6.8999999999999999E-3</v>
      </c>
      <c r="BZ7" s="564">
        <f>S7/1000*1.67</f>
        <v>3.173E-3</v>
      </c>
      <c r="CA7" s="564" t="e">
        <f>SUM(BR7:BZ7)</f>
        <v>#VALUE!</v>
      </c>
      <c r="CB7" s="611" t="e">
        <f>CA7/D7</f>
        <v>#VALUE!</v>
      </c>
      <c r="CD7" s="610">
        <f>AZ7/(AZ7+BA7)</f>
        <v>0.89935760171306212</v>
      </c>
      <c r="CE7" s="610" t="e">
        <f>BB7/AZ7</f>
        <v>#VALUE!</v>
      </c>
      <c r="CF7" s="610">
        <f t="shared" ref="CF7:CF12" si="1">IF(AW7-AV7&gt;0,AW7-AV7,0)</f>
        <v>0</v>
      </c>
      <c r="CG7" s="610">
        <f t="shared" ref="CG7:CG12" si="2">IF(AW7-AV7&gt;0,AX7+AY7,AW7+AX7+AY7-AV7)</f>
        <v>9.4000000000000014E-2</v>
      </c>
    </row>
    <row r="8" spans="2:85" ht="20.149999999999999" customHeight="1" x14ac:dyDescent="0.2">
      <c r="B8" s="31" t="s">
        <v>61</v>
      </c>
      <c r="C8" s="32" t="s">
        <v>199</v>
      </c>
      <c r="D8" s="33">
        <v>7</v>
      </c>
      <c r="E8" s="34" t="s">
        <v>243</v>
      </c>
      <c r="F8" s="35" t="s">
        <v>526</v>
      </c>
      <c r="G8" s="35">
        <v>1.6</v>
      </c>
      <c r="H8" s="36">
        <v>0.23</v>
      </c>
      <c r="I8" s="35">
        <v>0.34</v>
      </c>
      <c r="J8" s="35">
        <v>3.2000000000000001E-2</v>
      </c>
      <c r="K8" s="35">
        <v>1.9E-2</v>
      </c>
      <c r="L8" s="32" t="s">
        <v>545</v>
      </c>
      <c r="M8" s="34">
        <v>250</v>
      </c>
      <c r="N8" s="35">
        <v>6.4</v>
      </c>
      <c r="O8" s="35">
        <v>16</v>
      </c>
      <c r="P8" s="35">
        <v>41</v>
      </c>
      <c r="Q8" s="35">
        <v>20</v>
      </c>
      <c r="R8" s="35" t="s">
        <v>527</v>
      </c>
      <c r="S8" s="35">
        <v>0.77</v>
      </c>
      <c r="T8" s="35">
        <v>6.2</v>
      </c>
      <c r="U8" s="35" t="s">
        <v>540</v>
      </c>
      <c r="V8" s="35" t="s">
        <v>543</v>
      </c>
      <c r="W8" s="35">
        <v>9.4</v>
      </c>
      <c r="X8" s="35" t="s">
        <v>230</v>
      </c>
      <c r="Y8" s="35">
        <v>1.9</v>
      </c>
      <c r="Z8" s="35" t="s">
        <v>69</v>
      </c>
      <c r="AA8" s="35">
        <v>3.3</v>
      </c>
      <c r="AB8" s="35">
        <v>0.14000000000000001</v>
      </c>
      <c r="AC8" s="35" t="s">
        <v>528</v>
      </c>
      <c r="AD8" s="35">
        <v>5.8000000000000003E-2</v>
      </c>
      <c r="AE8" s="35" t="s">
        <v>541</v>
      </c>
      <c r="AF8" s="35">
        <v>0.28000000000000003</v>
      </c>
      <c r="AG8" s="35" t="s">
        <v>298</v>
      </c>
      <c r="AH8" s="35">
        <v>1.4</v>
      </c>
      <c r="AI8" s="35" t="s">
        <v>546</v>
      </c>
      <c r="AJ8" s="35">
        <v>1.4E-2</v>
      </c>
      <c r="AK8" s="35" t="s">
        <v>222</v>
      </c>
      <c r="AL8" s="33">
        <v>0.22</v>
      </c>
      <c r="AM8" s="33" t="s">
        <v>530</v>
      </c>
      <c r="AN8" s="33" t="s">
        <v>470</v>
      </c>
      <c r="AO8" s="33" t="s">
        <v>531</v>
      </c>
      <c r="AP8" s="35" t="s">
        <v>547</v>
      </c>
      <c r="AQ8" s="33"/>
      <c r="AR8" s="34" t="s">
        <v>257</v>
      </c>
      <c r="AS8" s="36">
        <v>0.44</v>
      </c>
      <c r="AT8" s="36">
        <v>0.38</v>
      </c>
      <c r="AU8" s="36">
        <v>0.19</v>
      </c>
      <c r="AV8" s="36">
        <v>0.34</v>
      </c>
      <c r="AW8" s="36">
        <v>0.32</v>
      </c>
      <c r="AX8" s="35">
        <v>0.21</v>
      </c>
      <c r="AY8" s="33">
        <v>0.01</v>
      </c>
      <c r="AZ8" s="33">
        <v>1.4</v>
      </c>
      <c r="BA8" s="33">
        <v>0.2</v>
      </c>
      <c r="BB8" s="32">
        <v>1</v>
      </c>
      <c r="BC8" s="619">
        <f t="shared" ref="BC8:BC20" si="3">SUM(AR8:AV8)/AZ8</f>
        <v>0.96428571428571441</v>
      </c>
      <c r="BD8" s="610">
        <f t="shared" ref="BD8:BD20" si="4">(SUM(AW8:AY8)-AV8)/BA8</f>
        <v>1</v>
      </c>
      <c r="BF8" s="610" t="e">
        <f t="shared" ref="BF8:BF20" si="5">E8/35.5</f>
        <v>#VALUE!</v>
      </c>
      <c r="BG8" s="610" t="e">
        <f t="shared" ref="BG8:BG20" si="6">F8/62</f>
        <v>#VALUE!</v>
      </c>
      <c r="BH8" s="610">
        <f t="shared" ref="BH8:BH20" si="7">G8/(96/2)</f>
        <v>3.3333333333333333E-2</v>
      </c>
      <c r="BI8" s="610">
        <f t="shared" ref="BI8:BI20" si="8">H8/23</f>
        <v>0.01</v>
      </c>
      <c r="BJ8" s="610">
        <f t="shared" ref="BJ8:BJ20" si="9">I8/18</f>
        <v>1.8888888888888889E-2</v>
      </c>
      <c r="BK8" s="610">
        <f t="shared" ref="BK8:BK20" si="10">J8/39</f>
        <v>8.2051282051282058E-4</v>
      </c>
      <c r="BL8" s="610">
        <f t="shared" ref="BL8:BL20" si="11">K8/(24.3/2)</f>
        <v>1.5637860082304525E-3</v>
      </c>
      <c r="BM8" s="610" t="e">
        <f t="shared" ref="BM8:BM20" si="12">L8/(40/2)</f>
        <v>#VALUE!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2.2000000000000002</v>
      </c>
      <c r="BS8" s="564" t="e">
        <f t="shared" ref="BS8:BS20" si="17">1.29*F8</f>
        <v>#VALUE!</v>
      </c>
      <c r="BT8" s="564">
        <f t="shared" ref="BT8:BT20" si="18">2.5*H8</f>
        <v>0.57500000000000007</v>
      </c>
      <c r="BU8" s="564">
        <f t="shared" ref="BU8:BU20" si="19">1.6*AZ8</f>
        <v>2.2399999999999998</v>
      </c>
      <c r="BV8" s="564">
        <f t="shared" ref="BV8:BV20" si="20">BA8</f>
        <v>0.2</v>
      </c>
      <c r="BW8" s="564">
        <f t="shared" ref="BW8:BW20" si="21">9.19/1000*N8</f>
        <v>5.8816000000000007E-2</v>
      </c>
      <c r="BX8" s="564">
        <f t="shared" si="0"/>
        <v>2.7999999999999997E-2</v>
      </c>
      <c r="BY8" s="564">
        <f t="shared" ref="BY8:BY20" si="22">W8/1000*1.38</f>
        <v>1.2971999999999999E-2</v>
      </c>
      <c r="BZ8" s="564">
        <f t="shared" ref="BZ8:BZ20" si="23">S8/1000*1.67</f>
        <v>1.2859E-3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0.875</v>
      </c>
      <c r="CE8" s="610">
        <f t="shared" ref="CE8:CE20" si="27">BB8/AZ8</f>
        <v>0.7142857142857143</v>
      </c>
      <c r="CF8" s="610">
        <f t="shared" si="1"/>
        <v>0</v>
      </c>
      <c r="CG8" s="610">
        <f t="shared" si="2"/>
        <v>0.2</v>
      </c>
    </row>
    <row r="9" spans="2:85" ht="20.149999999999999" customHeight="1" x14ac:dyDescent="0.2">
      <c r="B9" s="31" t="s">
        <v>61</v>
      </c>
      <c r="C9" s="37" t="s">
        <v>200</v>
      </c>
      <c r="D9" s="33">
        <v>16.8</v>
      </c>
      <c r="E9" s="34" t="s">
        <v>243</v>
      </c>
      <c r="F9" s="35" t="s">
        <v>526</v>
      </c>
      <c r="G9" s="35">
        <v>3.2</v>
      </c>
      <c r="H9" s="36">
        <v>0.13</v>
      </c>
      <c r="I9" s="35">
        <v>1.1000000000000001</v>
      </c>
      <c r="J9" s="35">
        <v>0.09</v>
      </c>
      <c r="K9" s="35">
        <v>1.7000000000000001E-2</v>
      </c>
      <c r="L9" s="32" t="s">
        <v>545</v>
      </c>
      <c r="M9" s="34">
        <v>150</v>
      </c>
      <c r="N9" s="35">
        <v>6.6</v>
      </c>
      <c r="O9" s="35">
        <v>43</v>
      </c>
      <c r="P9" s="35">
        <v>110</v>
      </c>
      <c r="Q9" s="35">
        <v>20</v>
      </c>
      <c r="R9" s="35">
        <v>0.14000000000000001</v>
      </c>
      <c r="S9" s="35">
        <v>2.1</v>
      </c>
      <c r="T9" s="35">
        <v>10</v>
      </c>
      <c r="U9" s="35" t="s">
        <v>540</v>
      </c>
      <c r="V9" s="35" t="s">
        <v>543</v>
      </c>
      <c r="W9" s="35">
        <v>34</v>
      </c>
      <c r="X9" s="35" t="s">
        <v>230</v>
      </c>
      <c r="Y9" s="35">
        <v>3.1</v>
      </c>
      <c r="Z9" s="35">
        <v>1.9</v>
      </c>
      <c r="AA9" s="35">
        <v>13</v>
      </c>
      <c r="AB9" s="35">
        <v>0.38</v>
      </c>
      <c r="AC9" s="35" t="s">
        <v>528</v>
      </c>
      <c r="AD9" s="35">
        <v>0.13</v>
      </c>
      <c r="AE9" s="35">
        <v>0.16</v>
      </c>
      <c r="AF9" s="35">
        <v>0.56999999999999995</v>
      </c>
      <c r="AG9" s="35" t="s">
        <v>298</v>
      </c>
      <c r="AH9" s="35">
        <v>2</v>
      </c>
      <c r="AI9" s="35">
        <v>2.5000000000000001E-2</v>
      </c>
      <c r="AJ9" s="35">
        <v>0.03</v>
      </c>
      <c r="AK9" s="35" t="s">
        <v>222</v>
      </c>
      <c r="AL9" s="33">
        <v>0.65</v>
      </c>
      <c r="AM9" s="33">
        <v>0.17</v>
      </c>
      <c r="AN9" s="33" t="s">
        <v>470</v>
      </c>
      <c r="AO9" s="33" t="s">
        <v>531</v>
      </c>
      <c r="AP9" s="35">
        <v>1.4</v>
      </c>
      <c r="AQ9" s="33"/>
      <c r="AR9" s="34" t="s">
        <v>257</v>
      </c>
      <c r="AS9" s="36">
        <v>1.2</v>
      </c>
      <c r="AT9" s="36">
        <v>1.1000000000000001</v>
      </c>
      <c r="AU9" s="36">
        <v>0.55000000000000004</v>
      </c>
      <c r="AV9" s="36">
        <v>1.6</v>
      </c>
      <c r="AW9" s="36">
        <v>1.8</v>
      </c>
      <c r="AX9" s="35">
        <v>0.66</v>
      </c>
      <c r="AY9" s="33">
        <v>7.6999999999999999E-2</v>
      </c>
      <c r="AZ9" s="33">
        <v>4.5</v>
      </c>
      <c r="BA9" s="33">
        <v>0.94</v>
      </c>
      <c r="BB9" s="32">
        <v>3.1</v>
      </c>
      <c r="BC9" s="619">
        <f t="shared" si="3"/>
        <v>0.98888888888888871</v>
      </c>
      <c r="BD9" s="610">
        <f t="shared" si="4"/>
        <v>0.99680851063829778</v>
      </c>
      <c r="BF9" s="610" t="e">
        <f t="shared" si="5"/>
        <v>#VALUE!</v>
      </c>
      <c r="BG9" s="610" t="e">
        <f t="shared" si="6"/>
        <v>#VALUE!</v>
      </c>
      <c r="BH9" s="610">
        <f t="shared" si="7"/>
        <v>6.6666666666666666E-2</v>
      </c>
      <c r="BI9" s="610">
        <f t="shared" si="8"/>
        <v>5.6521739130434784E-3</v>
      </c>
      <c r="BJ9" s="610">
        <f t="shared" si="9"/>
        <v>6.1111111111111116E-2</v>
      </c>
      <c r="BK9" s="610">
        <f t="shared" si="10"/>
        <v>2.3076923076923075E-3</v>
      </c>
      <c r="BL9" s="610">
        <f t="shared" si="11"/>
        <v>1.3991769547325103E-3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4.4000000000000004</v>
      </c>
      <c r="BS9" s="564" t="e">
        <f t="shared" si="17"/>
        <v>#VALUE!</v>
      </c>
      <c r="BT9" s="564">
        <f t="shared" si="18"/>
        <v>0.32500000000000001</v>
      </c>
      <c r="BU9" s="564">
        <f t="shared" si="19"/>
        <v>7.2</v>
      </c>
      <c r="BV9" s="564">
        <f t="shared" si="20"/>
        <v>0.94</v>
      </c>
      <c r="BW9" s="564">
        <f t="shared" si="21"/>
        <v>6.0654E-2</v>
      </c>
      <c r="BX9" s="564">
        <f t="shared" si="0"/>
        <v>2.7999999999999997E-2</v>
      </c>
      <c r="BY9" s="564">
        <f t="shared" si="22"/>
        <v>4.6919999999999996E-2</v>
      </c>
      <c r="BZ9" s="564">
        <f t="shared" si="23"/>
        <v>3.5070000000000006E-3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0.82720588235294124</v>
      </c>
      <c r="CE9" s="610">
        <f t="shared" si="27"/>
        <v>0.68888888888888888</v>
      </c>
      <c r="CF9" s="610">
        <f t="shared" si="1"/>
        <v>0.19999999999999996</v>
      </c>
      <c r="CG9" s="610">
        <f t="shared" si="2"/>
        <v>0.73699999999999999</v>
      </c>
    </row>
    <row r="10" spans="2:85" ht="20.149999999999999" customHeight="1" x14ac:dyDescent="0.2">
      <c r="B10" s="31" t="s">
        <v>61</v>
      </c>
      <c r="C10" s="32" t="s">
        <v>82</v>
      </c>
      <c r="D10" s="33">
        <v>16.100000000000001</v>
      </c>
      <c r="E10" s="34" t="s">
        <v>243</v>
      </c>
      <c r="F10" s="35" t="s">
        <v>526</v>
      </c>
      <c r="G10" s="35">
        <v>3.9</v>
      </c>
      <c r="H10" s="36">
        <v>0.16</v>
      </c>
      <c r="I10" s="35">
        <v>1.2</v>
      </c>
      <c r="J10" s="35">
        <v>7.6999999999999999E-2</v>
      </c>
      <c r="K10" s="35">
        <v>1.7999999999999999E-2</v>
      </c>
      <c r="L10" s="32" t="s">
        <v>545</v>
      </c>
      <c r="M10" s="34">
        <v>140</v>
      </c>
      <c r="N10" s="35" t="s">
        <v>532</v>
      </c>
      <c r="O10" s="35">
        <v>8.4</v>
      </c>
      <c r="P10" s="35">
        <v>110</v>
      </c>
      <c r="Q10" s="35">
        <v>22</v>
      </c>
      <c r="R10" s="35" t="s">
        <v>527</v>
      </c>
      <c r="S10" s="35">
        <v>2.9</v>
      </c>
      <c r="T10" s="35">
        <v>8.8000000000000007</v>
      </c>
      <c r="U10" s="35" t="s">
        <v>540</v>
      </c>
      <c r="V10" s="35" t="s">
        <v>543</v>
      </c>
      <c r="W10" s="35">
        <v>68</v>
      </c>
      <c r="X10" s="35" t="s">
        <v>230</v>
      </c>
      <c r="Y10" s="35">
        <v>2.2999999999999998</v>
      </c>
      <c r="Z10" s="35" t="s">
        <v>69</v>
      </c>
      <c r="AA10" s="35">
        <v>13</v>
      </c>
      <c r="AB10" s="35">
        <v>0.25</v>
      </c>
      <c r="AC10" s="35" t="s">
        <v>528</v>
      </c>
      <c r="AD10" s="35">
        <v>7.1999999999999995E-2</v>
      </c>
      <c r="AE10" s="35">
        <v>0.23</v>
      </c>
      <c r="AF10" s="35">
        <v>0.24</v>
      </c>
      <c r="AG10" s="35" t="s">
        <v>298</v>
      </c>
      <c r="AH10" s="35">
        <v>0.87</v>
      </c>
      <c r="AI10" s="35">
        <v>2.5000000000000001E-2</v>
      </c>
      <c r="AJ10" s="35">
        <v>1.7000000000000001E-2</v>
      </c>
      <c r="AK10" s="35" t="s">
        <v>222</v>
      </c>
      <c r="AL10" s="33" t="s">
        <v>529</v>
      </c>
      <c r="AM10" s="33">
        <v>0.18</v>
      </c>
      <c r="AN10" s="33" t="s">
        <v>470</v>
      </c>
      <c r="AO10" s="33" t="s">
        <v>531</v>
      </c>
      <c r="AP10" s="35">
        <v>1.8</v>
      </c>
      <c r="AQ10" s="33"/>
      <c r="AR10" s="34" t="s">
        <v>257</v>
      </c>
      <c r="AS10" s="36">
        <v>1.3</v>
      </c>
      <c r="AT10" s="36">
        <v>1</v>
      </c>
      <c r="AU10" s="36">
        <v>0.54</v>
      </c>
      <c r="AV10" s="36">
        <v>1.6</v>
      </c>
      <c r="AW10" s="36">
        <v>1.8</v>
      </c>
      <c r="AX10" s="35">
        <v>0.55000000000000004</v>
      </c>
      <c r="AY10" s="33">
        <v>6.2E-2</v>
      </c>
      <c r="AZ10" s="33">
        <v>4.4000000000000004</v>
      </c>
      <c r="BA10" s="33">
        <v>0.81</v>
      </c>
      <c r="BB10" s="32">
        <v>3.2</v>
      </c>
      <c r="BC10" s="619">
        <f t="shared" si="3"/>
        <v>1.0090909090909088</v>
      </c>
      <c r="BD10" s="610">
        <f t="shared" si="4"/>
        <v>1.0024691358024689</v>
      </c>
      <c r="BF10" s="610" t="e">
        <f t="shared" si="5"/>
        <v>#VALUE!</v>
      </c>
      <c r="BG10" s="610" t="e">
        <f t="shared" si="6"/>
        <v>#VALUE!</v>
      </c>
      <c r="BH10" s="610">
        <f t="shared" si="7"/>
        <v>8.1250000000000003E-2</v>
      </c>
      <c r="BI10" s="610">
        <f t="shared" si="8"/>
        <v>6.956521739130435E-3</v>
      </c>
      <c r="BJ10" s="610">
        <f t="shared" si="9"/>
        <v>6.6666666666666666E-2</v>
      </c>
      <c r="BK10" s="610">
        <f t="shared" si="10"/>
        <v>1.9743589743589744E-3</v>
      </c>
      <c r="BL10" s="610">
        <f t="shared" si="11"/>
        <v>1.4814814814814814E-3</v>
      </c>
      <c r="BM10" s="610" t="e">
        <f t="shared" si="12"/>
        <v>#VALUE!</v>
      </c>
      <c r="BN10" s="563" t="e">
        <f t="shared" si="13"/>
        <v>#VALUE!</v>
      </c>
      <c r="BO10" s="563" t="e">
        <f t="shared" si="14"/>
        <v>#VALUE!</v>
      </c>
      <c r="BP10" s="611" t="e">
        <f t="shared" si="15"/>
        <v>#VALUE!</v>
      </c>
      <c r="BR10" s="564">
        <f t="shared" si="16"/>
        <v>5.3624999999999998</v>
      </c>
      <c r="BS10" s="564" t="e">
        <f t="shared" si="17"/>
        <v>#VALUE!</v>
      </c>
      <c r="BT10" s="564">
        <f t="shared" si="18"/>
        <v>0.4</v>
      </c>
      <c r="BU10" s="564">
        <f t="shared" si="19"/>
        <v>7.0400000000000009</v>
      </c>
      <c r="BV10" s="564">
        <f t="shared" si="20"/>
        <v>0.81</v>
      </c>
      <c r="BW10" s="564" t="e">
        <f t="shared" si="21"/>
        <v>#VALUE!</v>
      </c>
      <c r="BX10" s="564">
        <f t="shared" si="0"/>
        <v>3.0799999999999998E-2</v>
      </c>
      <c r="BY10" s="564">
        <f t="shared" si="22"/>
        <v>9.3839999999999993E-2</v>
      </c>
      <c r="BZ10" s="564">
        <f t="shared" si="23"/>
        <v>4.8429999999999992E-3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0.84452975047984635</v>
      </c>
      <c r="CE10" s="610">
        <f t="shared" si="27"/>
        <v>0.72727272727272729</v>
      </c>
      <c r="CF10" s="610">
        <f t="shared" si="1"/>
        <v>0.19999999999999996</v>
      </c>
      <c r="CG10" s="610">
        <f t="shared" si="2"/>
        <v>0.6120000000000001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25.5</v>
      </c>
      <c r="E11" s="42" t="s">
        <v>243</v>
      </c>
      <c r="F11" s="43" t="s">
        <v>526</v>
      </c>
      <c r="G11" s="43">
        <v>5.2</v>
      </c>
      <c r="H11" s="44">
        <v>0.13</v>
      </c>
      <c r="I11" s="43">
        <v>2</v>
      </c>
      <c r="J11" s="43">
        <v>0.1</v>
      </c>
      <c r="K11" s="43" t="s">
        <v>548</v>
      </c>
      <c r="L11" s="45" t="s">
        <v>545</v>
      </c>
      <c r="M11" s="42">
        <v>130</v>
      </c>
      <c r="N11" s="43">
        <v>14</v>
      </c>
      <c r="O11" s="43">
        <v>30</v>
      </c>
      <c r="P11" s="43">
        <v>140</v>
      </c>
      <c r="Q11" s="43">
        <v>31</v>
      </c>
      <c r="R11" s="43" t="s">
        <v>527</v>
      </c>
      <c r="S11" s="43">
        <v>6.2</v>
      </c>
      <c r="T11" s="43">
        <v>14</v>
      </c>
      <c r="U11" s="43">
        <v>1.2</v>
      </c>
      <c r="V11" s="43">
        <v>4.2</v>
      </c>
      <c r="W11" s="43">
        <v>120</v>
      </c>
      <c r="X11" s="43">
        <v>3.3000000000000002E-2</v>
      </c>
      <c r="Y11" s="43">
        <v>4</v>
      </c>
      <c r="Z11" s="43">
        <v>3.4</v>
      </c>
      <c r="AA11" s="43">
        <v>26</v>
      </c>
      <c r="AB11" s="43">
        <v>0.43</v>
      </c>
      <c r="AC11" s="43">
        <v>0.95</v>
      </c>
      <c r="AD11" s="43">
        <v>0.13</v>
      </c>
      <c r="AE11" s="43">
        <v>1.4</v>
      </c>
      <c r="AF11" s="43">
        <v>0.56000000000000005</v>
      </c>
      <c r="AG11" s="43">
        <v>1.4999999999999999E-2</v>
      </c>
      <c r="AH11" s="43">
        <v>2.4</v>
      </c>
      <c r="AI11" s="43">
        <v>9.2999999999999999E-2</v>
      </c>
      <c r="AJ11" s="43">
        <v>5.8999999999999997E-2</v>
      </c>
      <c r="AK11" s="43" t="s">
        <v>222</v>
      </c>
      <c r="AL11" s="41" t="s">
        <v>529</v>
      </c>
      <c r="AM11" s="41">
        <v>0.34</v>
      </c>
      <c r="AN11" s="41" t="s">
        <v>470</v>
      </c>
      <c r="AO11" s="41" t="s">
        <v>531</v>
      </c>
      <c r="AP11" s="43">
        <v>4.3</v>
      </c>
      <c r="AQ11" s="41"/>
      <c r="AR11" s="42" t="s">
        <v>257</v>
      </c>
      <c r="AS11" s="44">
        <v>1.7</v>
      </c>
      <c r="AT11" s="44">
        <v>1.1000000000000001</v>
      </c>
      <c r="AU11" s="44">
        <v>0.55000000000000004</v>
      </c>
      <c r="AV11" s="44">
        <v>2.4</v>
      </c>
      <c r="AW11" s="44">
        <v>2.9</v>
      </c>
      <c r="AX11" s="43">
        <v>0.81</v>
      </c>
      <c r="AY11" s="41">
        <v>7.8E-2</v>
      </c>
      <c r="AZ11" s="41">
        <v>5.8</v>
      </c>
      <c r="BA11" s="41">
        <v>1.4</v>
      </c>
      <c r="BB11" s="45">
        <v>5</v>
      </c>
      <c r="BC11" s="620">
        <f t="shared" si="3"/>
        <v>0.99137931034482762</v>
      </c>
      <c r="BD11" s="617">
        <f t="shared" si="4"/>
        <v>0.99142857142857144</v>
      </c>
      <c r="BE11" s="616"/>
      <c r="BF11" s="617" t="e">
        <f t="shared" si="5"/>
        <v>#VALUE!</v>
      </c>
      <c r="BG11" s="617" t="e">
        <f t="shared" si="6"/>
        <v>#VALUE!</v>
      </c>
      <c r="BH11" s="617">
        <f t="shared" si="7"/>
        <v>0.10833333333333334</v>
      </c>
      <c r="BI11" s="617">
        <f t="shared" si="8"/>
        <v>5.6521739130434784E-3</v>
      </c>
      <c r="BJ11" s="617">
        <f t="shared" si="9"/>
        <v>0.1111111111111111</v>
      </c>
      <c r="BK11" s="617">
        <f t="shared" si="10"/>
        <v>2.5641025641025641E-3</v>
      </c>
      <c r="BL11" s="617" t="e">
        <f t="shared" si="11"/>
        <v>#VALUE!</v>
      </c>
      <c r="BM11" s="617" t="e">
        <f t="shared" si="12"/>
        <v>#VALUE!</v>
      </c>
      <c r="BN11" s="621" t="e">
        <f t="shared" si="13"/>
        <v>#VALUE!</v>
      </c>
      <c r="BO11" s="621" t="e">
        <f t="shared" si="14"/>
        <v>#VALUE!</v>
      </c>
      <c r="BP11" s="618" t="e">
        <f t="shared" si="15"/>
        <v>#VALUE!</v>
      </c>
      <c r="BQ11" s="616"/>
      <c r="BR11" s="615">
        <f t="shared" si="16"/>
        <v>7.15</v>
      </c>
      <c r="BS11" s="615" t="e">
        <f t="shared" si="17"/>
        <v>#VALUE!</v>
      </c>
      <c r="BT11" s="615">
        <f t="shared" si="18"/>
        <v>0.32500000000000001</v>
      </c>
      <c r="BU11" s="615">
        <f t="shared" si="19"/>
        <v>9.2799999999999994</v>
      </c>
      <c r="BV11" s="615">
        <f t="shared" si="20"/>
        <v>1.4</v>
      </c>
      <c r="BW11" s="615">
        <f t="shared" si="21"/>
        <v>0.12866</v>
      </c>
      <c r="BX11" s="615">
        <f t="shared" si="0"/>
        <v>4.3399999999999994E-2</v>
      </c>
      <c r="BY11" s="615">
        <f t="shared" si="22"/>
        <v>0.16559999999999997</v>
      </c>
      <c r="BZ11" s="615">
        <f t="shared" si="23"/>
        <v>1.0353999999999999E-2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0.80555555555555558</v>
      </c>
      <c r="CE11" s="617">
        <f t="shared" si="27"/>
        <v>0.86206896551724144</v>
      </c>
      <c r="CF11" s="617">
        <f t="shared" si="1"/>
        <v>0.5</v>
      </c>
      <c r="CG11" s="617">
        <f t="shared" si="2"/>
        <v>0.88800000000000001</v>
      </c>
    </row>
    <row r="12" spans="2:85" ht="20.149999999999999" customHeight="1" x14ac:dyDescent="0.2">
      <c r="B12" s="31" t="s">
        <v>202</v>
      </c>
      <c r="C12" s="46" t="s">
        <v>203</v>
      </c>
      <c r="D12" s="47">
        <v>10.7</v>
      </c>
      <c r="E12" s="630">
        <f t="shared" ref="E12:E18" si="28">0.5*0.096</f>
        <v>4.8000000000000001E-2</v>
      </c>
      <c r="F12" s="625">
        <f t="shared" ref="F12:F18" si="29">0.5*0.099</f>
        <v>4.9500000000000002E-2</v>
      </c>
      <c r="G12" s="49">
        <v>4.0999999999999996</v>
      </c>
      <c r="H12" s="50">
        <v>0.28000000000000003</v>
      </c>
      <c r="I12" s="49">
        <v>1.1000000000000001</v>
      </c>
      <c r="J12" s="49">
        <v>5.8999999999999997E-2</v>
      </c>
      <c r="K12" s="49">
        <v>3.3000000000000002E-2</v>
      </c>
      <c r="L12" s="632">
        <f t="shared" ref="L12:L18" si="30">0.5*0.044</f>
        <v>2.1999999999999999E-2</v>
      </c>
      <c r="M12" s="48">
        <v>200</v>
      </c>
      <c r="N12" s="625">
        <f>0.5*5.8</f>
        <v>2.9</v>
      </c>
      <c r="O12" s="49">
        <v>8.4</v>
      </c>
      <c r="P12" s="49">
        <v>71</v>
      </c>
      <c r="Q12" s="49">
        <v>24</v>
      </c>
      <c r="R12" s="625">
        <f t="shared" ref="R12:R18" si="31">0.5*0.1</f>
        <v>0.05</v>
      </c>
      <c r="S12" s="49">
        <v>1.4</v>
      </c>
      <c r="T12" s="49">
        <v>9.1999999999999993</v>
      </c>
      <c r="U12" s="625">
        <f>0.5*0.99</f>
        <v>0.495</v>
      </c>
      <c r="V12" s="625">
        <f>0.5*2.7</f>
        <v>1.35</v>
      </c>
      <c r="W12" s="49">
        <v>30</v>
      </c>
      <c r="X12" s="625">
        <f>0.5*0.022</f>
        <v>1.0999999999999999E-2</v>
      </c>
      <c r="Y12" s="49">
        <v>2.4</v>
      </c>
      <c r="Z12" s="625">
        <f>0.5*1.4</f>
        <v>0.7</v>
      </c>
      <c r="AA12" s="49">
        <v>6.1</v>
      </c>
      <c r="AB12" s="49">
        <v>0.12</v>
      </c>
      <c r="AC12" s="625">
        <f>0.5*0.58</f>
        <v>0.28999999999999998</v>
      </c>
      <c r="AD12" s="49">
        <v>5.0999999999999997E-2</v>
      </c>
      <c r="AE12" s="49">
        <v>0.54</v>
      </c>
      <c r="AF12" s="49">
        <v>9.5000000000000001E-2</v>
      </c>
      <c r="AG12" s="625">
        <f>0.5*0.012</f>
        <v>6.0000000000000001E-3</v>
      </c>
      <c r="AH12" s="49">
        <v>0.71</v>
      </c>
      <c r="AI12" s="49">
        <v>9.4000000000000004E-3</v>
      </c>
      <c r="AJ12" s="625">
        <f>0.5*0.01</f>
        <v>5.0000000000000001E-3</v>
      </c>
      <c r="AK12" s="625">
        <f t="shared" ref="AK12:AK18" si="32">0.5*0.013</f>
        <v>6.4999999999999997E-3</v>
      </c>
      <c r="AL12" s="627">
        <f>0.5*0.16</f>
        <v>0.08</v>
      </c>
      <c r="AM12" s="627">
        <f>0.5*0.06</f>
        <v>0.03</v>
      </c>
      <c r="AN12" s="627">
        <f t="shared" ref="AN12:AN18" si="33">0.5*0.027</f>
        <v>1.35E-2</v>
      </c>
      <c r="AO12" s="627">
        <f t="shared" ref="AO12:AO18" si="34">0.5*0.01</f>
        <v>5.0000000000000001E-3</v>
      </c>
      <c r="AP12" s="49">
        <v>2.1</v>
      </c>
      <c r="AQ12" s="47"/>
      <c r="AR12" s="630">
        <f t="shared" ref="AR12:AR18" si="35">0.5*0.04</f>
        <v>0.02</v>
      </c>
      <c r="AS12" s="50">
        <v>0.5</v>
      </c>
      <c r="AT12" s="50">
        <v>0.38</v>
      </c>
      <c r="AU12" s="50">
        <v>0.22</v>
      </c>
      <c r="AV12" s="50">
        <v>0.61</v>
      </c>
      <c r="AW12" s="50">
        <v>0.55000000000000004</v>
      </c>
      <c r="AX12" s="49">
        <v>0.35</v>
      </c>
      <c r="AY12" s="47">
        <v>3.5000000000000003E-2</v>
      </c>
      <c r="AZ12" s="47">
        <v>1.7</v>
      </c>
      <c r="BA12" s="47">
        <v>0.33</v>
      </c>
      <c r="BB12" s="37">
        <v>1.2</v>
      </c>
      <c r="BC12" s="619">
        <f t="shared" si="3"/>
        <v>1.0176470588235293</v>
      </c>
      <c r="BD12" s="610">
        <f t="shared" si="4"/>
        <v>0.98484848484848497</v>
      </c>
      <c r="BF12" s="610">
        <f t="shared" si="5"/>
        <v>1.352112676056338E-3</v>
      </c>
      <c r="BG12" s="610">
        <f t="shared" si="6"/>
        <v>7.983870967741936E-4</v>
      </c>
      <c r="BH12" s="610">
        <f t="shared" si="7"/>
        <v>8.5416666666666655E-2</v>
      </c>
      <c r="BI12" s="610">
        <f t="shared" si="8"/>
        <v>1.2173913043478262E-2</v>
      </c>
      <c r="BJ12" s="610">
        <f t="shared" si="9"/>
        <v>6.1111111111111116E-2</v>
      </c>
      <c r="BK12" s="610">
        <f t="shared" si="10"/>
        <v>1.5128205128205128E-3</v>
      </c>
      <c r="BL12" s="610">
        <f t="shared" si="11"/>
        <v>2.7160493827160493E-3</v>
      </c>
      <c r="BM12" s="610">
        <f t="shared" si="12"/>
        <v>1.0999999999999998E-3</v>
      </c>
      <c r="BN12" s="563">
        <f t="shared" si="13"/>
        <v>87.567166439497186</v>
      </c>
      <c r="BO12" s="563">
        <f t="shared" si="14"/>
        <v>78.613894050125936</v>
      </c>
      <c r="BP12" s="611">
        <f t="shared" si="15"/>
        <v>1.1138891858436939</v>
      </c>
      <c r="BR12" s="564">
        <f t="shared" si="16"/>
        <v>5.6374999999999993</v>
      </c>
      <c r="BS12" s="564">
        <f t="shared" si="17"/>
        <v>6.3855000000000009E-2</v>
      </c>
      <c r="BT12" s="564">
        <f t="shared" si="18"/>
        <v>0.70000000000000007</v>
      </c>
      <c r="BU12" s="564">
        <f t="shared" si="19"/>
        <v>2.72</v>
      </c>
      <c r="BV12" s="564">
        <f t="shared" si="20"/>
        <v>0.33</v>
      </c>
      <c r="BW12" s="564">
        <f t="shared" si="21"/>
        <v>2.6651000000000001E-2</v>
      </c>
      <c r="BX12" s="564">
        <f t="shared" si="0"/>
        <v>3.3599999999999998E-2</v>
      </c>
      <c r="BY12" s="564">
        <f t="shared" si="22"/>
        <v>4.1399999999999992E-2</v>
      </c>
      <c r="BZ12" s="564">
        <f t="shared" si="23"/>
        <v>2.3379999999999998E-3</v>
      </c>
      <c r="CA12" s="564">
        <f t="shared" si="24"/>
        <v>9.5553439999999981</v>
      </c>
      <c r="CB12" s="611">
        <f t="shared" si="25"/>
        <v>0.89302280373831766</v>
      </c>
      <c r="CC12" s="610"/>
      <c r="CD12" s="610">
        <f t="shared" si="26"/>
        <v>0.83743842364532028</v>
      </c>
      <c r="CE12" s="610">
        <f t="shared" si="27"/>
        <v>0.70588235294117652</v>
      </c>
      <c r="CF12" s="610">
        <f t="shared" si="1"/>
        <v>0</v>
      </c>
      <c r="CG12" s="610">
        <f t="shared" si="2"/>
        <v>0.32500000000000007</v>
      </c>
    </row>
    <row r="13" spans="2:85" ht="20.149999999999999" customHeight="1" x14ac:dyDescent="0.2">
      <c r="B13" s="31" t="s">
        <v>202</v>
      </c>
      <c r="C13" s="40" t="s">
        <v>204</v>
      </c>
      <c r="D13" s="33">
        <v>15</v>
      </c>
      <c r="E13" s="623">
        <f t="shared" si="28"/>
        <v>4.8000000000000001E-2</v>
      </c>
      <c r="F13" s="624">
        <f t="shared" si="29"/>
        <v>4.9500000000000002E-2</v>
      </c>
      <c r="G13" s="35">
        <v>4.5999999999999996</v>
      </c>
      <c r="H13" s="36">
        <v>0.12</v>
      </c>
      <c r="I13" s="35">
        <v>1.7</v>
      </c>
      <c r="J13" s="35">
        <v>4.7E-2</v>
      </c>
      <c r="K13" s="35">
        <v>9.4999999999999998E-3</v>
      </c>
      <c r="L13" s="633">
        <f t="shared" si="30"/>
        <v>2.1999999999999999E-2</v>
      </c>
      <c r="M13" s="34">
        <v>180</v>
      </c>
      <c r="N13" s="35">
        <v>17</v>
      </c>
      <c r="O13" s="35">
        <v>8.4</v>
      </c>
      <c r="P13" s="35">
        <v>66</v>
      </c>
      <c r="Q13" s="35">
        <v>20</v>
      </c>
      <c r="R13" s="624">
        <f t="shared" si="31"/>
        <v>0.05</v>
      </c>
      <c r="S13" s="624">
        <f>0.5*0.67</f>
        <v>0.33500000000000002</v>
      </c>
      <c r="T13" s="35">
        <v>8.5</v>
      </c>
      <c r="U13" s="624">
        <f>0.5*0.99</f>
        <v>0.495</v>
      </c>
      <c r="V13" s="624">
        <f>0.5*2.7</f>
        <v>1.35</v>
      </c>
      <c r="W13" s="35">
        <v>47</v>
      </c>
      <c r="X13" s="35">
        <v>2.4E-2</v>
      </c>
      <c r="Y13" s="35">
        <v>2.6</v>
      </c>
      <c r="Z13" s="624">
        <f>0.5*1.4</f>
        <v>0.7</v>
      </c>
      <c r="AA13" s="35">
        <v>12</v>
      </c>
      <c r="AB13" s="35">
        <v>0.33</v>
      </c>
      <c r="AC13" s="624">
        <f>0.5*0.58</f>
        <v>0.28999999999999998</v>
      </c>
      <c r="AD13" s="35">
        <v>9.8000000000000004E-2</v>
      </c>
      <c r="AE13" s="35">
        <v>0.41</v>
      </c>
      <c r="AF13" s="35">
        <v>0.33</v>
      </c>
      <c r="AG13" s="624">
        <f>0.5*0.012</f>
        <v>6.0000000000000001E-3</v>
      </c>
      <c r="AH13" s="35">
        <v>0.57999999999999996</v>
      </c>
      <c r="AI13" s="35">
        <v>0.08</v>
      </c>
      <c r="AJ13" s="35">
        <v>0.02</v>
      </c>
      <c r="AK13" s="624">
        <f t="shared" si="32"/>
        <v>6.4999999999999997E-3</v>
      </c>
      <c r="AL13" s="628">
        <f>0.5*0.16</f>
        <v>0.08</v>
      </c>
      <c r="AM13" s="33">
        <v>0.39</v>
      </c>
      <c r="AN13" s="628">
        <f t="shared" si="33"/>
        <v>1.35E-2</v>
      </c>
      <c r="AO13" s="628">
        <f t="shared" si="34"/>
        <v>5.0000000000000001E-3</v>
      </c>
      <c r="AP13" s="35">
        <v>2.4</v>
      </c>
      <c r="AQ13" s="33"/>
      <c r="AR13" s="623">
        <f t="shared" si="35"/>
        <v>0.02</v>
      </c>
      <c r="AS13" s="36">
        <v>0.68</v>
      </c>
      <c r="AT13" s="36">
        <v>0.43</v>
      </c>
      <c r="AU13" s="36">
        <v>0.22</v>
      </c>
      <c r="AV13" s="36">
        <v>0.99</v>
      </c>
      <c r="AW13" s="36">
        <v>0.9</v>
      </c>
      <c r="AX13" s="35">
        <v>0.51</v>
      </c>
      <c r="AY13" s="33">
        <v>3.9E-2</v>
      </c>
      <c r="AZ13" s="33">
        <v>2.2999999999999998</v>
      </c>
      <c r="BA13" s="33">
        <v>0.46</v>
      </c>
      <c r="BB13" s="32">
        <v>1.6</v>
      </c>
      <c r="BC13" s="619">
        <f t="shared" si="3"/>
        <v>1.0173913043478262</v>
      </c>
      <c r="BD13" s="610">
        <f t="shared" si="4"/>
        <v>0.99782608695652186</v>
      </c>
      <c r="BF13" s="610">
        <f t="shared" si="5"/>
        <v>1.352112676056338E-3</v>
      </c>
      <c r="BG13" s="610">
        <f t="shared" si="6"/>
        <v>7.983870967741936E-4</v>
      </c>
      <c r="BH13" s="610">
        <f t="shared" si="7"/>
        <v>9.5833333333333326E-2</v>
      </c>
      <c r="BI13" s="610">
        <f t="shared" si="8"/>
        <v>5.2173913043478256E-3</v>
      </c>
      <c r="BJ13" s="610">
        <f t="shared" si="9"/>
        <v>9.4444444444444442E-2</v>
      </c>
      <c r="BK13" s="610">
        <f t="shared" si="10"/>
        <v>1.2051282051282052E-3</v>
      </c>
      <c r="BL13" s="610">
        <f t="shared" si="11"/>
        <v>7.8189300411522626E-4</v>
      </c>
      <c r="BM13" s="610">
        <f t="shared" si="12"/>
        <v>1.0999999999999998E-3</v>
      </c>
      <c r="BN13" s="563">
        <f t="shared" si="13"/>
        <v>97.983833106163857</v>
      </c>
      <c r="BO13" s="563">
        <f t="shared" si="14"/>
        <v>102.7488569580357</v>
      </c>
      <c r="BP13" s="611">
        <f t="shared" si="15"/>
        <v>0.95362455609780694</v>
      </c>
      <c r="BR13" s="564">
        <f t="shared" si="16"/>
        <v>6.3249999999999993</v>
      </c>
      <c r="BS13" s="564">
        <f t="shared" si="17"/>
        <v>6.3855000000000009E-2</v>
      </c>
      <c r="BT13" s="564">
        <f t="shared" si="18"/>
        <v>0.3</v>
      </c>
      <c r="BU13" s="564">
        <f t="shared" si="19"/>
        <v>3.6799999999999997</v>
      </c>
      <c r="BV13" s="564">
        <f t="shared" si="20"/>
        <v>0.46</v>
      </c>
      <c r="BW13" s="564">
        <f t="shared" si="21"/>
        <v>0.15623000000000001</v>
      </c>
      <c r="BX13" s="564">
        <f t="shared" si="0"/>
        <v>2.7999999999999997E-2</v>
      </c>
      <c r="BY13" s="564">
        <f t="shared" si="22"/>
        <v>6.4860000000000001E-2</v>
      </c>
      <c r="BZ13" s="564">
        <f t="shared" si="23"/>
        <v>5.5944999999999996E-4</v>
      </c>
      <c r="CA13" s="564">
        <f t="shared" si="24"/>
        <v>11.078504450000002</v>
      </c>
      <c r="CB13" s="611">
        <f t="shared" si="25"/>
        <v>0.73856696333333349</v>
      </c>
      <c r="CC13" s="610"/>
      <c r="CD13" s="610">
        <f t="shared" si="26"/>
        <v>0.83333333333333337</v>
      </c>
      <c r="CE13" s="610">
        <f t="shared" si="27"/>
        <v>0.69565217391304357</v>
      </c>
      <c r="CF13" s="610">
        <f t="shared" ref="CF13:CF20" si="36">IF(AW13-AV13&gt;0,AW13-AV13,0)</f>
        <v>0</v>
      </c>
      <c r="CG13" s="610">
        <f t="shared" ref="CG13:CG20" si="37">IF(AW13-AV13&gt;0,AX13+AY13,AW13+AX13+AY13-AV13)</f>
        <v>0.45900000000000007</v>
      </c>
    </row>
    <row r="14" spans="2:85" ht="20.149999999999999" customHeight="1" x14ac:dyDescent="0.2">
      <c r="B14" s="31" t="s">
        <v>202</v>
      </c>
      <c r="C14" s="32" t="s">
        <v>205</v>
      </c>
      <c r="D14" s="33">
        <v>14.1</v>
      </c>
      <c r="E14" s="623">
        <f t="shared" si="28"/>
        <v>4.8000000000000001E-2</v>
      </c>
      <c r="F14" s="624">
        <f t="shared" si="29"/>
        <v>4.9500000000000002E-2</v>
      </c>
      <c r="G14" s="35">
        <v>5.3</v>
      </c>
      <c r="H14" s="36">
        <v>0.13</v>
      </c>
      <c r="I14" s="35">
        <v>2</v>
      </c>
      <c r="J14" s="35">
        <v>7.3999999999999996E-2</v>
      </c>
      <c r="K14" s="35">
        <v>1.2999999999999999E-2</v>
      </c>
      <c r="L14" s="633">
        <f t="shared" si="30"/>
        <v>2.1999999999999999E-2</v>
      </c>
      <c r="M14" s="34">
        <v>140</v>
      </c>
      <c r="N14" s="35">
        <v>11</v>
      </c>
      <c r="O14" s="35">
        <v>29</v>
      </c>
      <c r="P14" s="35">
        <v>87</v>
      </c>
      <c r="Q14" s="35">
        <v>19</v>
      </c>
      <c r="R14" s="624">
        <f t="shared" si="31"/>
        <v>0.05</v>
      </c>
      <c r="S14" s="35">
        <v>2.8</v>
      </c>
      <c r="T14" s="35">
        <v>7</v>
      </c>
      <c r="U14" s="624">
        <f>0.5*0.99</f>
        <v>0.495</v>
      </c>
      <c r="V14" s="624">
        <f>0.5*2.7</f>
        <v>1.35</v>
      </c>
      <c r="W14" s="35">
        <v>29</v>
      </c>
      <c r="X14" s="624">
        <f>0.5*0.022</f>
        <v>1.0999999999999999E-2</v>
      </c>
      <c r="Y14" s="35">
        <v>1.7</v>
      </c>
      <c r="Z14" s="624">
        <f>0.5*1.4</f>
        <v>0.7</v>
      </c>
      <c r="AA14" s="35">
        <v>5.3</v>
      </c>
      <c r="AB14" s="35">
        <v>0.39</v>
      </c>
      <c r="AC14" s="35">
        <v>0.65</v>
      </c>
      <c r="AD14" s="35">
        <v>0.11</v>
      </c>
      <c r="AE14" s="35">
        <v>0.16</v>
      </c>
      <c r="AF14" s="35">
        <v>0.22</v>
      </c>
      <c r="AG14" s="624">
        <f>0.5*0.012</f>
        <v>6.0000000000000001E-3</v>
      </c>
      <c r="AH14" s="35">
        <v>2.6</v>
      </c>
      <c r="AI14" s="35">
        <v>2.7E-2</v>
      </c>
      <c r="AJ14" s="35">
        <v>1.7999999999999999E-2</v>
      </c>
      <c r="AK14" s="624">
        <f t="shared" si="32"/>
        <v>6.4999999999999997E-3</v>
      </c>
      <c r="AL14" s="628">
        <f>0.5*0.16</f>
        <v>0.08</v>
      </c>
      <c r="AM14" s="33">
        <v>7.0999999999999994E-2</v>
      </c>
      <c r="AN14" s="628">
        <f t="shared" si="33"/>
        <v>1.35E-2</v>
      </c>
      <c r="AO14" s="628">
        <f t="shared" si="34"/>
        <v>5.0000000000000001E-3</v>
      </c>
      <c r="AP14" s="624">
        <f>0.5*0.87</f>
        <v>0.435</v>
      </c>
      <c r="AQ14" s="33"/>
      <c r="AR14" s="623">
        <f t="shared" si="35"/>
        <v>0.02</v>
      </c>
      <c r="AS14" s="36">
        <v>0.59</v>
      </c>
      <c r="AT14" s="36">
        <v>0.42</v>
      </c>
      <c r="AU14" s="36">
        <v>0.22</v>
      </c>
      <c r="AV14" s="36">
        <v>0.85</v>
      </c>
      <c r="AW14" s="36">
        <v>0.69</v>
      </c>
      <c r="AX14" s="35">
        <v>0.52</v>
      </c>
      <c r="AY14" s="33">
        <v>6.8000000000000005E-2</v>
      </c>
      <c r="AZ14" s="33">
        <v>2.1</v>
      </c>
      <c r="BA14" s="33">
        <v>0.43</v>
      </c>
      <c r="BB14" s="32">
        <v>1.7</v>
      </c>
      <c r="BC14" s="619">
        <f t="shared" si="3"/>
        <v>1</v>
      </c>
      <c r="BD14" s="610">
        <f t="shared" si="4"/>
        <v>0.99534883720930245</v>
      </c>
      <c r="BF14" s="610">
        <f t="shared" si="5"/>
        <v>1.352112676056338E-3</v>
      </c>
      <c r="BG14" s="610">
        <f t="shared" si="6"/>
        <v>7.983870967741936E-4</v>
      </c>
      <c r="BH14" s="610">
        <f t="shared" si="7"/>
        <v>0.11041666666666666</v>
      </c>
      <c r="BI14" s="610">
        <f t="shared" si="8"/>
        <v>5.6521739130434784E-3</v>
      </c>
      <c r="BJ14" s="610">
        <f t="shared" si="9"/>
        <v>0.1111111111111111</v>
      </c>
      <c r="BK14" s="610">
        <f t="shared" si="10"/>
        <v>1.8974358974358973E-3</v>
      </c>
      <c r="BL14" s="610">
        <f t="shared" si="11"/>
        <v>1.0699588477366254E-3</v>
      </c>
      <c r="BM14" s="610">
        <f t="shared" si="12"/>
        <v>1.0999999999999998E-3</v>
      </c>
      <c r="BN14" s="563">
        <f t="shared" si="13"/>
        <v>112.5671664394972</v>
      </c>
      <c r="BO14" s="563">
        <f t="shared" si="14"/>
        <v>120.83067976932712</v>
      </c>
      <c r="BP14" s="611">
        <f t="shared" si="15"/>
        <v>0.93161080161424692</v>
      </c>
      <c r="BR14" s="564">
        <f t="shared" si="16"/>
        <v>7.2874999999999996</v>
      </c>
      <c r="BS14" s="564">
        <f t="shared" si="17"/>
        <v>6.3855000000000009E-2</v>
      </c>
      <c r="BT14" s="564">
        <f t="shared" si="18"/>
        <v>0.32500000000000001</v>
      </c>
      <c r="BU14" s="564">
        <f t="shared" si="19"/>
        <v>3.3600000000000003</v>
      </c>
      <c r="BV14" s="564">
        <f t="shared" si="20"/>
        <v>0.43</v>
      </c>
      <c r="BW14" s="564">
        <f t="shared" si="21"/>
        <v>0.10109</v>
      </c>
      <c r="BX14" s="564">
        <f t="shared" si="0"/>
        <v>2.6599999999999999E-2</v>
      </c>
      <c r="BY14" s="564">
        <f t="shared" si="22"/>
        <v>4.002E-2</v>
      </c>
      <c r="BZ14" s="564">
        <f t="shared" si="23"/>
        <v>4.6759999999999996E-3</v>
      </c>
      <c r="CA14" s="564">
        <f t="shared" si="24"/>
        <v>11.638741</v>
      </c>
      <c r="CB14" s="611">
        <f t="shared" si="25"/>
        <v>0.82544262411347513</v>
      </c>
      <c r="CC14" s="610"/>
      <c r="CD14" s="610">
        <f t="shared" si="26"/>
        <v>0.83003952569169959</v>
      </c>
      <c r="CE14" s="610">
        <f t="shared" si="27"/>
        <v>0.80952380952380942</v>
      </c>
      <c r="CF14" s="610">
        <f t="shared" si="36"/>
        <v>0</v>
      </c>
      <c r="CG14" s="610">
        <f t="shared" si="37"/>
        <v>0.42800000000000005</v>
      </c>
    </row>
    <row r="15" spans="2:85" ht="20.149999999999999" customHeight="1" x14ac:dyDescent="0.2">
      <c r="B15" s="31" t="s">
        <v>202</v>
      </c>
      <c r="C15" s="32" t="s">
        <v>206</v>
      </c>
      <c r="D15" s="33">
        <v>15.3</v>
      </c>
      <c r="E15" s="623">
        <f t="shared" si="28"/>
        <v>4.8000000000000001E-2</v>
      </c>
      <c r="F15" s="624">
        <f t="shared" si="29"/>
        <v>4.9500000000000002E-2</v>
      </c>
      <c r="G15" s="35">
        <v>6.1</v>
      </c>
      <c r="H15" s="36">
        <v>5.1999999999999998E-2</v>
      </c>
      <c r="I15" s="35">
        <v>2.2000000000000002</v>
      </c>
      <c r="J15" s="35">
        <v>0.06</v>
      </c>
      <c r="K15" s="35">
        <v>5.4000000000000003E-3</v>
      </c>
      <c r="L15" s="633">
        <f t="shared" si="30"/>
        <v>2.1999999999999999E-2</v>
      </c>
      <c r="M15" s="34">
        <v>64</v>
      </c>
      <c r="N15" s="624">
        <f>0.5*5.8</f>
        <v>2.9</v>
      </c>
      <c r="O15" s="35">
        <v>8.4</v>
      </c>
      <c r="P15" s="35">
        <v>70</v>
      </c>
      <c r="Q15" s="35">
        <v>11</v>
      </c>
      <c r="R15" s="624">
        <f t="shared" si="31"/>
        <v>0.05</v>
      </c>
      <c r="S15" s="35">
        <v>5.8</v>
      </c>
      <c r="T15" s="35">
        <v>9.9</v>
      </c>
      <c r="U15" s="624">
        <f>0.5*0.99</f>
        <v>0.495</v>
      </c>
      <c r="V15" s="624">
        <f>0.5*2.7</f>
        <v>1.35</v>
      </c>
      <c r="W15" s="35">
        <v>26</v>
      </c>
      <c r="X15" s="624">
        <f>0.5*0.022</f>
        <v>1.0999999999999999E-2</v>
      </c>
      <c r="Y15" s="35">
        <v>2.6</v>
      </c>
      <c r="Z15" s="624">
        <f>0.5*1.4</f>
        <v>0.7</v>
      </c>
      <c r="AA15" s="35">
        <v>8</v>
      </c>
      <c r="AB15" s="35">
        <v>0.35</v>
      </c>
      <c r="AC15" s="624">
        <f>0.5*0.58</f>
        <v>0.28999999999999998</v>
      </c>
      <c r="AD15" s="35">
        <v>0.1</v>
      </c>
      <c r="AE15" s="35">
        <v>0.15</v>
      </c>
      <c r="AF15" s="35">
        <v>0.22</v>
      </c>
      <c r="AG15" s="624">
        <f>0.5*0.012</f>
        <v>6.0000000000000001E-3</v>
      </c>
      <c r="AH15" s="35">
        <v>1.1000000000000001</v>
      </c>
      <c r="AI15" s="35">
        <v>0.02</v>
      </c>
      <c r="AJ15" s="35">
        <v>1.4E-2</v>
      </c>
      <c r="AK15" s="624">
        <f t="shared" si="32"/>
        <v>6.4999999999999997E-3</v>
      </c>
      <c r="AL15" s="628">
        <f>0.5*0.16</f>
        <v>0.08</v>
      </c>
      <c r="AM15" s="33">
        <v>0.14000000000000001</v>
      </c>
      <c r="AN15" s="628">
        <f t="shared" si="33"/>
        <v>1.35E-2</v>
      </c>
      <c r="AO15" s="628">
        <f t="shared" si="34"/>
        <v>5.0000000000000001E-3</v>
      </c>
      <c r="AP15" s="35">
        <v>3.3</v>
      </c>
      <c r="AQ15" s="33"/>
      <c r="AR15" s="623">
        <f t="shared" si="35"/>
        <v>0.02</v>
      </c>
      <c r="AS15" s="36">
        <v>0.6</v>
      </c>
      <c r="AT15" s="36">
        <v>0.39</v>
      </c>
      <c r="AU15" s="36">
        <v>0.2</v>
      </c>
      <c r="AV15" s="36">
        <v>0.88</v>
      </c>
      <c r="AW15" s="36">
        <v>0.67</v>
      </c>
      <c r="AX15" s="35">
        <v>0.61</v>
      </c>
      <c r="AY15" s="33">
        <v>7.6999999999999999E-2</v>
      </c>
      <c r="AZ15" s="33">
        <v>2.1</v>
      </c>
      <c r="BA15" s="33">
        <v>0.48</v>
      </c>
      <c r="BB15" s="32">
        <v>1.7</v>
      </c>
      <c r="BC15" s="619">
        <f t="shared" si="3"/>
        <v>0.99523809523809514</v>
      </c>
      <c r="BD15" s="610">
        <f t="shared" si="4"/>
        <v>0.99375000000000002</v>
      </c>
      <c r="BF15" s="610">
        <f t="shared" si="5"/>
        <v>1.352112676056338E-3</v>
      </c>
      <c r="BG15" s="610">
        <f t="shared" si="6"/>
        <v>7.983870967741936E-4</v>
      </c>
      <c r="BH15" s="610">
        <f t="shared" si="7"/>
        <v>0.12708333333333333</v>
      </c>
      <c r="BI15" s="610">
        <f t="shared" si="8"/>
        <v>2.2608695652173911E-3</v>
      </c>
      <c r="BJ15" s="610">
        <f t="shared" si="9"/>
        <v>0.12222222222222223</v>
      </c>
      <c r="BK15" s="610">
        <f t="shared" si="10"/>
        <v>1.5384615384615385E-3</v>
      </c>
      <c r="BL15" s="610">
        <f t="shared" si="11"/>
        <v>4.4444444444444447E-4</v>
      </c>
      <c r="BM15" s="610">
        <f t="shared" si="12"/>
        <v>1.0999999999999998E-3</v>
      </c>
      <c r="BN15" s="563">
        <f t="shared" si="13"/>
        <v>129.23383310616384</v>
      </c>
      <c r="BO15" s="563">
        <f t="shared" si="14"/>
        <v>127.56599777034558</v>
      </c>
      <c r="BP15" s="611">
        <f t="shared" si="15"/>
        <v>1.0130742938162944</v>
      </c>
      <c r="BR15" s="564">
        <f t="shared" si="16"/>
        <v>8.3874999999999993</v>
      </c>
      <c r="BS15" s="564">
        <f t="shared" si="17"/>
        <v>6.3855000000000009E-2</v>
      </c>
      <c r="BT15" s="564">
        <f t="shared" si="18"/>
        <v>0.13</v>
      </c>
      <c r="BU15" s="564">
        <f t="shared" si="19"/>
        <v>3.3600000000000003</v>
      </c>
      <c r="BV15" s="564">
        <f t="shared" si="20"/>
        <v>0.48</v>
      </c>
      <c r="BW15" s="564">
        <f t="shared" si="21"/>
        <v>2.6651000000000001E-2</v>
      </c>
      <c r="BX15" s="564">
        <f t="shared" si="0"/>
        <v>1.5399999999999999E-2</v>
      </c>
      <c r="BY15" s="564">
        <f t="shared" si="22"/>
        <v>3.5879999999999995E-2</v>
      </c>
      <c r="BZ15" s="564">
        <f t="shared" si="23"/>
        <v>9.6859999999999984E-3</v>
      </c>
      <c r="CA15" s="564">
        <f t="shared" si="24"/>
        <v>12.508972000000002</v>
      </c>
      <c r="CB15" s="611">
        <f t="shared" si="25"/>
        <v>0.81757986928104587</v>
      </c>
      <c r="CC15" s="610"/>
      <c r="CD15" s="610">
        <f t="shared" si="26"/>
        <v>0.81395348837209303</v>
      </c>
      <c r="CE15" s="610">
        <f t="shared" si="27"/>
        <v>0.80952380952380942</v>
      </c>
      <c r="CF15" s="610">
        <f t="shared" si="36"/>
        <v>0</v>
      </c>
      <c r="CG15" s="610">
        <f t="shared" si="37"/>
        <v>0.47699999999999998</v>
      </c>
    </row>
    <row r="16" spans="2:85" ht="20.149999999999999" customHeight="1" x14ac:dyDescent="0.2">
      <c r="B16" s="31" t="s">
        <v>202</v>
      </c>
      <c r="C16" s="32" t="s">
        <v>207</v>
      </c>
      <c r="D16" s="33">
        <v>26.4</v>
      </c>
      <c r="E16" s="623">
        <f t="shared" si="28"/>
        <v>4.8000000000000001E-2</v>
      </c>
      <c r="F16" s="624">
        <f t="shared" si="29"/>
        <v>4.9500000000000002E-2</v>
      </c>
      <c r="G16" s="35">
        <v>15</v>
      </c>
      <c r="H16" s="36">
        <v>6.9000000000000006E-2</v>
      </c>
      <c r="I16" s="35">
        <v>4.7</v>
      </c>
      <c r="J16" s="35">
        <v>5.8000000000000003E-2</v>
      </c>
      <c r="K16" s="624">
        <f>0.5*0.0038</f>
        <v>1.9E-3</v>
      </c>
      <c r="L16" s="633">
        <f t="shared" si="30"/>
        <v>2.1999999999999999E-2</v>
      </c>
      <c r="M16" s="34">
        <v>73</v>
      </c>
      <c r="N16" s="35">
        <v>8.1999999999999993</v>
      </c>
      <c r="O16" s="35">
        <v>38</v>
      </c>
      <c r="P16" s="35">
        <v>92</v>
      </c>
      <c r="Q16" s="35">
        <v>23</v>
      </c>
      <c r="R16" s="624">
        <f t="shared" si="31"/>
        <v>0.05</v>
      </c>
      <c r="S16" s="35">
        <v>3.2</v>
      </c>
      <c r="T16" s="35">
        <v>20</v>
      </c>
      <c r="U16" s="624">
        <f>0.5*0.99</f>
        <v>0.495</v>
      </c>
      <c r="V16" s="624">
        <v>5.4</v>
      </c>
      <c r="W16" s="35">
        <v>60</v>
      </c>
      <c r="X16" s="35">
        <v>5.6000000000000001E-2</v>
      </c>
      <c r="Y16" s="35">
        <v>5.7</v>
      </c>
      <c r="Z16" s="35">
        <v>2.5</v>
      </c>
      <c r="AA16" s="35">
        <v>25</v>
      </c>
      <c r="AB16" s="35">
        <v>1</v>
      </c>
      <c r="AC16" s="35">
        <v>1.2</v>
      </c>
      <c r="AD16" s="35">
        <v>0.23</v>
      </c>
      <c r="AE16" s="35">
        <v>0.38</v>
      </c>
      <c r="AF16" s="35">
        <v>0.56000000000000005</v>
      </c>
      <c r="AG16" s="35">
        <v>3.6999999999999998E-2</v>
      </c>
      <c r="AH16" s="35">
        <v>1.1000000000000001</v>
      </c>
      <c r="AI16" s="35">
        <v>0.04</v>
      </c>
      <c r="AJ16" s="35">
        <v>5.0999999999999997E-2</v>
      </c>
      <c r="AK16" s="624">
        <f t="shared" si="32"/>
        <v>6.4999999999999997E-3</v>
      </c>
      <c r="AL16" s="628">
        <f>0.5*0.16</f>
        <v>0.08</v>
      </c>
      <c r="AM16" s="33">
        <v>0.32</v>
      </c>
      <c r="AN16" s="628">
        <f t="shared" si="33"/>
        <v>1.35E-2</v>
      </c>
      <c r="AO16" s="628">
        <f t="shared" si="34"/>
        <v>5.0000000000000001E-3</v>
      </c>
      <c r="AP16" s="35">
        <v>6.2</v>
      </c>
      <c r="AQ16" s="33"/>
      <c r="AR16" s="623">
        <f t="shared" si="35"/>
        <v>0.02</v>
      </c>
      <c r="AS16" s="36">
        <v>0.76</v>
      </c>
      <c r="AT16" s="36">
        <v>0.53</v>
      </c>
      <c r="AU16" s="36">
        <v>0.19</v>
      </c>
      <c r="AV16" s="36">
        <v>0.38</v>
      </c>
      <c r="AW16" s="36">
        <v>0.84</v>
      </c>
      <c r="AX16" s="35">
        <v>0.56000000000000005</v>
      </c>
      <c r="AY16" s="33">
        <v>2.5999999999999999E-2</v>
      </c>
      <c r="AZ16" s="33">
        <v>1.9</v>
      </c>
      <c r="BA16" s="33">
        <v>1</v>
      </c>
      <c r="BB16" s="32">
        <v>2</v>
      </c>
      <c r="BC16" s="619">
        <f t="shared" si="3"/>
        <v>0.98947368421052628</v>
      </c>
      <c r="BD16" s="610">
        <f t="shared" si="4"/>
        <v>1.0459999999999998</v>
      </c>
      <c r="BF16" s="610">
        <f t="shared" si="5"/>
        <v>1.352112676056338E-3</v>
      </c>
      <c r="BG16" s="610">
        <f t="shared" si="6"/>
        <v>7.983870967741936E-4</v>
      </c>
      <c r="BH16" s="610">
        <f t="shared" si="7"/>
        <v>0.3125</v>
      </c>
      <c r="BI16" s="610">
        <f t="shared" si="8"/>
        <v>3.0000000000000001E-3</v>
      </c>
      <c r="BJ16" s="610">
        <f t="shared" si="9"/>
        <v>0.26111111111111113</v>
      </c>
      <c r="BK16" s="610">
        <f t="shared" si="10"/>
        <v>1.4871794871794872E-3</v>
      </c>
      <c r="BL16" s="610">
        <f t="shared" si="11"/>
        <v>1.5637860082304527E-4</v>
      </c>
      <c r="BM16" s="610">
        <f t="shared" si="12"/>
        <v>1.0999999999999998E-3</v>
      </c>
      <c r="BN16" s="563">
        <f t="shared" si="13"/>
        <v>314.65049977283053</v>
      </c>
      <c r="BO16" s="563">
        <f t="shared" si="14"/>
        <v>266.85466919911369</v>
      </c>
      <c r="BP16" s="611">
        <f t="shared" si="15"/>
        <v>1.1791080917458259</v>
      </c>
      <c r="BR16" s="564">
        <f t="shared" si="16"/>
        <v>20.625</v>
      </c>
      <c r="BS16" s="564">
        <f t="shared" si="17"/>
        <v>6.3855000000000009E-2</v>
      </c>
      <c r="BT16" s="564">
        <f t="shared" si="18"/>
        <v>0.17250000000000001</v>
      </c>
      <c r="BU16" s="564">
        <f t="shared" si="19"/>
        <v>3.04</v>
      </c>
      <c r="BV16" s="564">
        <f t="shared" si="20"/>
        <v>1</v>
      </c>
      <c r="BW16" s="564">
        <f t="shared" si="21"/>
        <v>7.5357999999999994E-2</v>
      </c>
      <c r="BX16" s="564">
        <f t="shared" si="0"/>
        <v>3.2199999999999999E-2</v>
      </c>
      <c r="BY16" s="564">
        <f t="shared" si="22"/>
        <v>8.2799999999999985E-2</v>
      </c>
      <c r="BZ16" s="564">
        <f t="shared" si="23"/>
        <v>5.3439999999999998E-3</v>
      </c>
      <c r="CA16" s="564">
        <f t="shared" si="24"/>
        <v>25.097057</v>
      </c>
      <c r="CB16" s="611">
        <f t="shared" si="25"/>
        <v>0.95064609848484849</v>
      </c>
      <c r="CC16" s="610"/>
      <c r="CD16" s="610">
        <f t="shared" si="26"/>
        <v>0.65517241379310343</v>
      </c>
      <c r="CE16" s="610">
        <f t="shared" si="27"/>
        <v>1.0526315789473684</v>
      </c>
      <c r="CF16" s="610">
        <f t="shared" si="36"/>
        <v>0.45999999999999996</v>
      </c>
      <c r="CG16" s="610">
        <f t="shared" si="37"/>
        <v>0.58600000000000008</v>
      </c>
    </row>
    <row r="17" spans="2:85" ht="20.149999999999999" customHeight="1" x14ac:dyDescent="0.2">
      <c r="B17" s="31" t="s">
        <v>202</v>
      </c>
      <c r="C17" s="32" t="s">
        <v>208</v>
      </c>
      <c r="D17" s="33">
        <v>27.5</v>
      </c>
      <c r="E17" s="623">
        <f t="shared" si="28"/>
        <v>4.8000000000000001E-2</v>
      </c>
      <c r="F17" s="624">
        <f t="shared" si="29"/>
        <v>4.9500000000000002E-2</v>
      </c>
      <c r="G17" s="35">
        <v>14</v>
      </c>
      <c r="H17" s="36">
        <v>6.5000000000000002E-2</v>
      </c>
      <c r="I17" s="35">
        <v>4.7</v>
      </c>
      <c r="J17" s="35">
        <v>0.1</v>
      </c>
      <c r="K17" s="624">
        <f>0.5*0.0038</f>
        <v>1.9E-3</v>
      </c>
      <c r="L17" s="633">
        <f t="shared" si="30"/>
        <v>2.1999999999999999E-2</v>
      </c>
      <c r="M17" s="34">
        <v>77</v>
      </c>
      <c r="N17" s="35">
        <v>19</v>
      </c>
      <c r="O17" s="35">
        <v>77</v>
      </c>
      <c r="P17" s="35">
        <v>130</v>
      </c>
      <c r="Q17" s="35">
        <v>30</v>
      </c>
      <c r="R17" s="624">
        <f t="shared" si="31"/>
        <v>0.05</v>
      </c>
      <c r="S17" s="35">
        <v>3.8</v>
      </c>
      <c r="T17" s="35">
        <v>20</v>
      </c>
      <c r="U17" s="35">
        <v>1.4</v>
      </c>
      <c r="V17" s="35">
        <v>6.2</v>
      </c>
      <c r="W17" s="35">
        <v>78</v>
      </c>
      <c r="X17" s="35">
        <v>7.4999999999999997E-2</v>
      </c>
      <c r="Y17" s="35">
        <v>5.4</v>
      </c>
      <c r="Z17" s="35">
        <v>4.4000000000000004</v>
      </c>
      <c r="AA17" s="35">
        <v>40</v>
      </c>
      <c r="AB17" s="35">
        <v>1.7</v>
      </c>
      <c r="AC17" s="35">
        <v>1.5</v>
      </c>
      <c r="AD17" s="35">
        <v>0.34</v>
      </c>
      <c r="AE17" s="35">
        <v>0.38</v>
      </c>
      <c r="AF17" s="35">
        <v>0.86</v>
      </c>
      <c r="AG17" s="35">
        <v>5.1999999999999998E-2</v>
      </c>
      <c r="AH17" s="35">
        <v>1.3</v>
      </c>
      <c r="AI17" s="35">
        <v>6.9000000000000006E-2</v>
      </c>
      <c r="AJ17" s="35">
        <v>8.1000000000000003E-2</v>
      </c>
      <c r="AK17" s="624">
        <f t="shared" si="32"/>
        <v>6.4999999999999997E-3</v>
      </c>
      <c r="AL17" s="33">
        <v>0.22</v>
      </c>
      <c r="AM17" s="33">
        <v>0.28000000000000003</v>
      </c>
      <c r="AN17" s="628">
        <f t="shared" si="33"/>
        <v>1.35E-2</v>
      </c>
      <c r="AO17" s="628">
        <f t="shared" si="34"/>
        <v>5.0000000000000001E-3</v>
      </c>
      <c r="AP17" s="35">
        <v>9.4</v>
      </c>
      <c r="AQ17" s="33"/>
      <c r="AR17" s="623">
        <f t="shared" si="35"/>
        <v>0.02</v>
      </c>
      <c r="AS17" s="36">
        <v>0.73</v>
      </c>
      <c r="AT17" s="36">
        <v>0.55000000000000004</v>
      </c>
      <c r="AU17" s="36">
        <v>0.17</v>
      </c>
      <c r="AV17" s="36">
        <v>0.38</v>
      </c>
      <c r="AW17" s="36">
        <v>0.88</v>
      </c>
      <c r="AX17" s="35">
        <v>0.43</v>
      </c>
      <c r="AY17" s="33">
        <v>1.0999999999999999E-2</v>
      </c>
      <c r="AZ17" s="33">
        <v>1.8</v>
      </c>
      <c r="BA17" s="33">
        <v>0.94</v>
      </c>
      <c r="BB17" s="32">
        <v>1.7</v>
      </c>
      <c r="BC17" s="619">
        <f t="shared" si="3"/>
        <v>1.0277777777777779</v>
      </c>
      <c r="BD17" s="610">
        <f t="shared" si="4"/>
        <v>1.0010638297872341</v>
      </c>
      <c r="BF17" s="610">
        <f t="shared" si="5"/>
        <v>1.352112676056338E-3</v>
      </c>
      <c r="BG17" s="610">
        <f t="shared" si="6"/>
        <v>7.983870967741936E-4</v>
      </c>
      <c r="BH17" s="610">
        <f t="shared" si="7"/>
        <v>0.29166666666666669</v>
      </c>
      <c r="BI17" s="610">
        <f t="shared" si="8"/>
        <v>2.8260869565217392E-3</v>
      </c>
      <c r="BJ17" s="610">
        <f t="shared" si="9"/>
        <v>0.26111111111111113</v>
      </c>
      <c r="BK17" s="610">
        <f t="shared" si="10"/>
        <v>2.5641025641025641E-3</v>
      </c>
      <c r="BL17" s="610">
        <f t="shared" si="11"/>
        <v>1.5637860082304527E-4</v>
      </c>
      <c r="BM17" s="610">
        <f t="shared" si="12"/>
        <v>1.0999999999999998E-3</v>
      </c>
      <c r="BN17" s="563">
        <f t="shared" si="13"/>
        <v>293.81716643949721</v>
      </c>
      <c r="BO17" s="563">
        <f t="shared" si="14"/>
        <v>267.75767923255847</v>
      </c>
      <c r="BP17" s="611">
        <f t="shared" si="15"/>
        <v>1.0973248919755725</v>
      </c>
      <c r="BR17" s="564">
        <f t="shared" si="16"/>
        <v>19.25</v>
      </c>
      <c r="BS17" s="564">
        <f t="shared" si="17"/>
        <v>6.3855000000000009E-2</v>
      </c>
      <c r="BT17" s="564">
        <f t="shared" si="18"/>
        <v>0.16250000000000001</v>
      </c>
      <c r="BU17" s="564">
        <f t="shared" si="19"/>
        <v>2.8800000000000003</v>
      </c>
      <c r="BV17" s="564">
        <f t="shared" si="20"/>
        <v>0.94</v>
      </c>
      <c r="BW17" s="564">
        <f t="shared" si="21"/>
        <v>0.17461000000000002</v>
      </c>
      <c r="BX17" s="564">
        <f t="shared" si="0"/>
        <v>4.1999999999999996E-2</v>
      </c>
      <c r="BY17" s="564">
        <f t="shared" si="22"/>
        <v>0.10763999999999999</v>
      </c>
      <c r="BZ17" s="564">
        <f t="shared" si="23"/>
        <v>6.3460000000000001E-3</v>
      </c>
      <c r="CA17" s="564">
        <f t="shared" si="24"/>
        <v>23.626951000000005</v>
      </c>
      <c r="CB17" s="611">
        <f t="shared" si="25"/>
        <v>0.8591618545454548</v>
      </c>
      <c r="CC17" s="610"/>
      <c r="CD17" s="610">
        <f t="shared" si="26"/>
        <v>0.65693430656934304</v>
      </c>
      <c r="CE17" s="610">
        <f t="shared" si="27"/>
        <v>0.94444444444444442</v>
      </c>
      <c r="CF17" s="610">
        <f t="shared" si="36"/>
        <v>0.5</v>
      </c>
      <c r="CG17" s="610">
        <f t="shared" si="37"/>
        <v>0.441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24.1</v>
      </c>
      <c r="E18" s="631">
        <f t="shared" si="28"/>
        <v>4.8000000000000001E-2</v>
      </c>
      <c r="F18" s="626">
        <f t="shared" si="29"/>
        <v>4.9500000000000002E-2</v>
      </c>
      <c r="G18" s="43">
        <v>12</v>
      </c>
      <c r="H18" s="44">
        <v>0.06</v>
      </c>
      <c r="I18" s="43">
        <v>4.2</v>
      </c>
      <c r="J18" s="43">
        <v>9.0999999999999998E-2</v>
      </c>
      <c r="K18" s="626">
        <f>0.5*0.0038</f>
        <v>1.9E-3</v>
      </c>
      <c r="L18" s="634">
        <f t="shared" si="30"/>
        <v>2.1999999999999999E-2</v>
      </c>
      <c r="M18" s="42">
        <v>66</v>
      </c>
      <c r="N18" s="43">
        <v>18</v>
      </c>
      <c r="O18" s="43">
        <v>88</v>
      </c>
      <c r="P18" s="43">
        <v>120</v>
      </c>
      <c r="Q18" s="43">
        <v>28</v>
      </c>
      <c r="R18" s="626">
        <f t="shared" si="31"/>
        <v>0.05</v>
      </c>
      <c r="S18" s="43">
        <v>4.4000000000000004</v>
      </c>
      <c r="T18" s="43">
        <v>11</v>
      </c>
      <c r="U18" s="626">
        <f>0.5*0.99</f>
        <v>0.495</v>
      </c>
      <c r="V18" s="43">
        <v>5.6</v>
      </c>
      <c r="W18" s="43">
        <v>66</v>
      </c>
      <c r="X18" s="43">
        <v>5.7000000000000002E-2</v>
      </c>
      <c r="Y18" s="43">
        <v>3</v>
      </c>
      <c r="Z18" s="43">
        <v>3.5</v>
      </c>
      <c r="AA18" s="43">
        <v>34</v>
      </c>
      <c r="AB18" s="43">
        <v>1.8</v>
      </c>
      <c r="AC18" s="43">
        <v>0.96</v>
      </c>
      <c r="AD18" s="43">
        <v>0.34</v>
      </c>
      <c r="AE18" s="43">
        <v>0.28999999999999998</v>
      </c>
      <c r="AF18" s="43">
        <v>0.78</v>
      </c>
      <c r="AG18" s="43">
        <v>4.4999999999999998E-2</v>
      </c>
      <c r="AH18" s="43">
        <v>1.2</v>
      </c>
      <c r="AI18" s="43">
        <v>3.5000000000000003E-2</v>
      </c>
      <c r="AJ18" s="43">
        <v>6.2E-2</v>
      </c>
      <c r="AK18" s="626">
        <f t="shared" si="32"/>
        <v>6.4999999999999997E-3</v>
      </c>
      <c r="AL18" s="629">
        <f>0.5*0.16</f>
        <v>0.08</v>
      </c>
      <c r="AM18" s="41">
        <v>0.12</v>
      </c>
      <c r="AN18" s="629">
        <f t="shared" si="33"/>
        <v>1.35E-2</v>
      </c>
      <c r="AO18" s="629">
        <f t="shared" si="34"/>
        <v>5.0000000000000001E-3</v>
      </c>
      <c r="AP18" s="43">
        <v>10</v>
      </c>
      <c r="AQ18" s="41"/>
      <c r="AR18" s="631">
        <f t="shared" si="35"/>
        <v>0.02</v>
      </c>
      <c r="AS18" s="44">
        <v>0.52</v>
      </c>
      <c r="AT18" s="44">
        <v>0.46</v>
      </c>
      <c r="AU18" s="44">
        <v>0.14000000000000001</v>
      </c>
      <c r="AV18" s="44">
        <v>0.33</v>
      </c>
      <c r="AW18" s="44">
        <v>0.59</v>
      </c>
      <c r="AX18" s="43">
        <v>0.54</v>
      </c>
      <c r="AY18" s="41">
        <v>1.9E-2</v>
      </c>
      <c r="AZ18" s="41">
        <v>1.5</v>
      </c>
      <c r="BA18" s="41">
        <v>0.82</v>
      </c>
      <c r="BB18" s="45">
        <v>1</v>
      </c>
      <c r="BC18" s="620">
        <f t="shared" si="3"/>
        <v>0.98000000000000009</v>
      </c>
      <c r="BD18" s="617">
        <f t="shared" si="4"/>
        <v>0.99878048780487783</v>
      </c>
      <c r="BE18" s="616"/>
      <c r="BF18" s="617">
        <f t="shared" si="5"/>
        <v>1.352112676056338E-3</v>
      </c>
      <c r="BG18" s="617">
        <f t="shared" si="6"/>
        <v>7.983870967741936E-4</v>
      </c>
      <c r="BH18" s="617">
        <f t="shared" si="7"/>
        <v>0.25</v>
      </c>
      <c r="BI18" s="617">
        <f t="shared" si="8"/>
        <v>2.6086956521739128E-3</v>
      </c>
      <c r="BJ18" s="617">
        <f t="shared" si="9"/>
        <v>0.23333333333333334</v>
      </c>
      <c r="BK18" s="617">
        <f t="shared" si="10"/>
        <v>2.3333333333333331E-3</v>
      </c>
      <c r="BL18" s="617">
        <f t="shared" si="11"/>
        <v>1.5637860082304527E-4</v>
      </c>
      <c r="BM18" s="617">
        <f t="shared" si="12"/>
        <v>1.0999999999999998E-3</v>
      </c>
      <c r="BN18" s="621">
        <f t="shared" si="13"/>
        <v>252.15049977283056</v>
      </c>
      <c r="BO18" s="621">
        <f t="shared" si="14"/>
        <v>239.5317409196636</v>
      </c>
      <c r="BP18" s="618">
        <f t="shared" si="15"/>
        <v>1.0526809466032276</v>
      </c>
      <c r="BQ18" s="616"/>
      <c r="BR18" s="615">
        <f t="shared" si="16"/>
        <v>16.5</v>
      </c>
      <c r="BS18" s="615">
        <f t="shared" si="17"/>
        <v>6.3855000000000009E-2</v>
      </c>
      <c r="BT18" s="615">
        <f t="shared" si="18"/>
        <v>0.15</v>
      </c>
      <c r="BU18" s="615">
        <f t="shared" si="19"/>
        <v>2.4000000000000004</v>
      </c>
      <c r="BV18" s="615">
        <f t="shared" si="20"/>
        <v>0.82</v>
      </c>
      <c r="BW18" s="615">
        <f t="shared" si="21"/>
        <v>0.16542000000000001</v>
      </c>
      <c r="BX18" s="615">
        <f t="shared" si="0"/>
        <v>3.9199999999999999E-2</v>
      </c>
      <c r="BY18" s="615">
        <f t="shared" si="22"/>
        <v>9.1079999999999994E-2</v>
      </c>
      <c r="BZ18" s="615">
        <f t="shared" si="23"/>
        <v>7.3480000000000004E-3</v>
      </c>
      <c r="CA18" s="615">
        <f t="shared" si="24"/>
        <v>20.236903000000005</v>
      </c>
      <c r="CB18" s="618">
        <f t="shared" si="25"/>
        <v>0.83970551867219934</v>
      </c>
      <c r="CC18" s="617"/>
      <c r="CD18" s="617">
        <f t="shared" si="26"/>
        <v>0.64655172413793105</v>
      </c>
      <c r="CE18" s="617">
        <f t="shared" si="27"/>
        <v>0.66666666666666663</v>
      </c>
      <c r="CF18" s="617">
        <f t="shared" si="36"/>
        <v>0.25999999999999995</v>
      </c>
      <c r="CG18" s="617">
        <f t="shared" si="37"/>
        <v>0.55900000000000005</v>
      </c>
    </row>
    <row r="19" spans="2:85" ht="20.149999999999999" customHeight="1" x14ac:dyDescent="0.2">
      <c r="B19" s="31" t="s">
        <v>61</v>
      </c>
      <c r="C19" s="46" t="s">
        <v>92</v>
      </c>
      <c r="D19" s="47">
        <v>20.9</v>
      </c>
      <c r="E19" s="48" t="s">
        <v>243</v>
      </c>
      <c r="F19" s="49" t="s">
        <v>526</v>
      </c>
      <c r="G19" s="49">
        <v>11</v>
      </c>
      <c r="H19" s="50">
        <v>4.1000000000000002E-2</v>
      </c>
      <c r="I19" s="49">
        <v>3.7</v>
      </c>
      <c r="J19" s="49">
        <v>7.8E-2</v>
      </c>
      <c r="K19" s="49" t="s">
        <v>548</v>
      </c>
      <c r="L19" s="37" t="s">
        <v>545</v>
      </c>
      <c r="M19" s="48">
        <v>60</v>
      </c>
      <c r="N19" s="49">
        <v>19</v>
      </c>
      <c r="O19" s="49">
        <v>110</v>
      </c>
      <c r="P19" s="49">
        <v>110</v>
      </c>
      <c r="Q19" s="49">
        <v>37</v>
      </c>
      <c r="R19" s="49" t="s">
        <v>527</v>
      </c>
      <c r="S19" s="49">
        <v>4.0999999999999996</v>
      </c>
      <c r="T19" s="49">
        <v>11</v>
      </c>
      <c r="U19" s="49" t="s">
        <v>540</v>
      </c>
      <c r="V19" s="49">
        <v>4.2</v>
      </c>
      <c r="W19" s="49">
        <v>63</v>
      </c>
      <c r="X19" s="49">
        <v>5.3999999999999999E-2</v>
      </c>
      <c r="Y19" s="49">
        <v>2.8</v>
      </c>
      <c r="Z19" s="49">
        <v>3.5</v>
      </c>
      <c r="AA19" s="49">
        <v>30</v>
      </c>
      <c r="AB19" s="49">
        <v>1.8</v>
      </c>
      <c r="AC19" s="49">
        <v>1.6</v>
      </c>
      <c r="AD19" s="49">
        <v>0.28000000000000003</v>
      </c>
      <c r="AE19" s="49">
        <v>0.24</v>
      </c>
      <c r="AF19" s="49">
        <v>0.66</v>
      </c>
      <c r="AG19" s="49">
        <v>3.7999999999999999E-2</v>
      </c>
      <c r="AH19" s="49">
        <v>1.5</v>
      </c>
      <c r="AI19" s="49">
        <v>3.3000000000000002E-2</v>
      </c>
      <c r="AJ19" s="49">
        <v>5.3999999999999999E-2</v>
      </c>
      <c r="AK19" s="49" t="s">
        <v>222</v>
      </c>
      <c r="AL19" s="47" t="s">
        <v>529</v>
      </c>
      <c r="AM19" s="47">
        <v>0.11</v>
      </c>
      <c r="AN19" s="47" t="s">
        <v>470</v>
      </c>
      <c r="AO19" s="47" t="s">
        <v>531</v>
      </c>
      <c r="AP19" s="49">
        <v>7.9</v>
      </c>
      <c r="AQ19" s="47"/>
      <c r="AR19" s="48" t="s">
        <v>257</v>
      </c>
      <c r="AS19" s="50">
        <v>0.47</v>
      </c>
      <c r="AT19" s="50">
        <v>0.36</v>
      </c>
      <c r="AU19" s="50">
        <v>0.12</v>
      </c>
      <c r="AV19" s="50">
        <v>0.19</v>
      </c>
      <c r="AW19" s="50">
        <v>0.43</v>
      </c>
      <c r="AX19" s="49">
        <v>0.47</v>
      </c>
      <c r="AY19" s="47">
        <v>2.4E-2</v>
      </c>
      <c r="AZ19" s="47">
        <v>1.1000000000000001</v>
      </c>
      <c r="BA19" s="47">
        <v>0.73</v>
      </c>
      <c r="BB19" s="37">
        <v>0.57999999999999996</v>
      </c>
      <c r="BC19" s="619">
        <f t="shared" si="3"/>
        <v>1.0363636363636362</v>
      </c>
      <c r="BD19" s="610">
        <f t="shared" si="4"/>
        <v>1.0054794520547945</v>
      </c>
      <c r="BF19" s="610" t="e">
        <f t="shared" si="5"/>
        <v>#VALUE!</v>
      </c>
      <c r="BG19" s="610" t="e">
        <f t="shared" si="6"/>
        <v>#VALUE!</v>
      </c>
      <c r="BH19" s="610">
        <f t="shared" si="7"/>
        <v>0.22916666666666666</v>
      </c>
      <c r="BI19" s="610">
        <f t="shared" si="8"/>
        <v>1.7826086956521741E-3</v>
      </c>
      <c r="BJ19" s="610">
        <f t="shared" si="9"/>
        <v>0.20555555555555557</v>
      </c>
      <c r="BK19" s="610">
        <f t="shared" si="10"/>
        <v>2E-3</v>
      </c>
      <c r="BL19" s="610" t="e">
        <f t="shared" si="11"/>
        <v>#VALUE!</v>
      </c>
      <c r="BM19" s="610" t="e">
        <f t="shared" si="12"/>
        <v>#VALUE!</v>
      </c>
      <c r="BN19" s="563" t="e">
        <f t="shared" si="13"/>
        <v>#VALUE!</v>
      </c>
      <c r="BO19" s="563" t="e">
        <f t="shared" si="14"/>
        <v>#VALUE!</v>
      </c>
      <c r="BP19" s="611" t="e">
        <f t="shared" si="15"/>
        <v>#VALUE!</v>
      </c>
      <c r="BR19" s="564">
        <f t="shared" si="16"/>
        <v>15.125</v>
      </c>
      <c r="BS19" s="564" t="e">
        <f t="shared" si="17"/>
        <v>#VALUE!</v>
      </c>
      <c r="BT19" s="564">
        <f t="shared" si="18"/>
        <v>0.10250000000000001</v>
      </c>
      <c r="BU19" s="564">
        <f t="shared" si="19"/>
        <v>1.7600000000000002</v>
      </c>
      <c r="BV19" s="564">
        <f t="shared" si="20"/>
        <v>0.73</v>
      </c>
      <c r="BW19" s="564">
        <f t="shared" si="21"/>
        <v>0.17461000000000002</v>
      </c>
      <c r="BX19" s="564">
        <f t="shared" si="0"/>
        <v>5.1799999999999992E-2</v>
      </c>
      <c r="BY19" s="564">
        <f t="shared" si="22"/>
        <v>8.693999999999999E-2</v>
      </c>
      <c r="BZ19" s="564">
        <f t="shared" si="23"/>
        <v>6.8469999999999989E-3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0.60109289617486339</v>
      </c>
      <c r="CE19" s="610">
        <f t="shared" si="27"/>
        <v>0.52727272727272723</v>
      </c>
      <c r="CF19" s="610">
        <f t="shared" si="36"/>
        <v>0.24</v>
      </c>
      <c r="CG19" s="610">
        <f t="shared" si="37"/>
        <v>0.49399999999999999</v>
      </c>
    </row>
    <row r="20" spans="2:85" ht="20.149999999999999" customHeight="1" x14ac:dyDescent="0.2">
      <c r="B20" s="21" t="s">
        <v>61</v>
      </c>
      <c r="C20" s="52" t="s">
        <v>210</v>
      </c>
      <c r="D20" s="53">
        <v>4.3</v>
      </c>
      <c r="E20" s="54" t="s">
        <v>243</v>
      </c>
      <c r="F20" s="55" t="s">
        <v>526</v>
      </c>
      <c r="G20" s="55">
        <v>1.8</v>
      </c>
      <c r="H20" s="56">
        <v>6.7000000000000004E-2</v>
      </c>
      <c r="I20" s="55">
        <v>0.55000000000000004</v>
      </c>
      <c r="J20" s="55">
        <v>2.1000000000000001E-2</v>
      </c>
      <c r="K20" s="55">
        <v>4.1000000000000003E-3</v>
      </c>
      <c r="L20" s="52" t="s">
        <v>545</v>
      </c>
      <c r="M20" s="54">
        <v>63</v>
      </c>
      <c r="N20" s="55" t="s">
        <v>532</v>
      </c>
      <c r="O20" s="55">
        <v>21</v>
      </c>
      <c r="P20" s="55">
        <v>25</v>
      </c>
      <c r="Q20" s="55">
        <v>11</v>
      </c>
      <c r="R20" s="55" t="s">
        <v>527</v>
      </c>
      <c r="S20" s="55" t="s">
        <v>498</v>
      </c>
      <c r="T20" s="55">
        <v>3.9</v>
      </c>
      <c r="U20" s="55" t="s">
        <v>540</v>
      </c>
      <c r="V20" s="55" t="s">
        <v>543</v>
      </c>
      <c r="W20" s="55">
        <v>11</v>
      </c>
      <c r="X20" s="55" t="s">
        <v>230</v>
      </c>
      <c r="Y20" s="55">
        <v>1.2</v>
      </c>
      <c r="Z20" s="55" t="s">
        <v>69</v>
      </c>
      <c r="AA20" s="55">
        <v>3.6</v>
      </c>
      <c r="AB20" s="55">
        <v>0.18</v>
      </c>
      <c r="AC20" s="55" t="s">
        <v>528</v>
      </c>
      <c r="AD20" s="55" t="s">
        <v>253</v>
      </c>
      <c r="AE20" s="55" t="s">
        <v>541</v>
      </c>
      <c r="AF20" s="55">
        <v>5.0999999999999997E-2</v>
      </c>
      <c r="AG20" s="55" t="s">
        <v>298</v>
      </c>
      <c r="AH20" s="55">
        <v>0.24</v>
      </c>
      <c r="AI20" s="55" t="s">
        <v>546</v>
      </c>
      <c r="AJ20" s="55" t="s">
        <v>531</v>
      </c>
      <c r="AK20" s="55" t="s">
        <v>222</v>
      </c>
      <c r="AL20" s="53" t="s">
        <v>529</v>
      </c>
      <c r="AM20" s="53" t="s">
        <v>530</v>
      </c>
      <c r="AN20" s="53" t="s">
        <v>470</v>
      </c>
      <c r="AO20" s="53" t="s">
        <v>531</v>
      </c>
      <c r="AP20" s="55">
        <v>1.9</v>
      </c>
      <c r="AQ20" s="53"/>
      <c r="AR20" s="54" t="s">
        <v>257</v>
      </c>
      <c r="AS20" s="56">
        <v>0.24</v>
      </c>
      <c r="AT20" s="56">
        <v>9.6000000000000002E-2</v>
      </c>
      <c r="AU20" s="56" t="s">
        <v>549</v>
      </c>
      <c r="AV20" s="56" t="s">
        <v>550</v>
      </c>
      <c r="AW20" s="56">
        <v>9.4E-2</v>
      </c>
      <c r="AX20" s="55">
        <v>0.14000000000000001</v>
      </c>
      <c r="AY20" s="53" t="s">
        <v>531</v>
      </c>
      <c r="AZ20" s="53">
        <v>0.34</v>
      </c>
      <c r="BA20" s="53">
        <v>0.23</v>
      </c>
      <c r="BB20" s="52" t="s">
        <v>304</v>
      </c>
      <c r="BC20" s="619">
        <f t="shared" si="3"/>
        <v>0.98823529411764688</v>
      </c>
      <c r="BD20" s="610" t="e">
        <f t="shared" si="4"/>
        <v>#VALUE!</v>
      </c>
      <c r="BF20" s="610" t="e">
        <f t="shared" si="5"/>
        <v>#VALUE!</v>
      </c>
      <c r="BG20" s="610" t="e">
        <f t="shared" si="6"/>
        <v>#VALUE!</v>
      </c>
      <c r="BH20" s="610">
        <f t="shared" si="7"/>
        <v>3.7499999999999999E-2</v>
      </c>
      <c r="BI20" s="610">
        <f t="shared" si="8"/>
        <v>2.9130434782608699E-3</v>
      </c>
      <c r="BJ20" s="610">
        <f t="shared" si="9"/>
        <v>3.0555555555555558E-2</v>
      </c>
      <c r="BK20" s="610">
        <f t="shared" si="10"/>
        <v>5.3846153846153855E-4</v>
      </c>
      <c r="BL20" s="610">
        <f t="shared" si="11"/>
        <v>3.374485596707819E-4</v>
      </c>
      <c r="BM20" s="610" t="e">
        <f t="shared" si="12"/>
        <v>#VALUE!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2.4750000000000001</v>
      </c>
      <c r="BS20" s="564" t="e">
        <f t="shared" si="17"/>
        <v>#VALUE!</v>
      </c>
      <c r="BT20" s="564">
        <f t="shared" si="18"/>
        <v>0.16750000000000001</v>
      </c>
      <c r="BU20" s="564">
        <f t="shared" si="19"/>
        <v>0.54400000000000004</v>
      </c>
      <c r="BV20" s="564">
        <f t="shared" si="20"/>
        <v>0.23</v>
      </c>
      <c r="BW20" s="564" t="e">
        <f t="shared" si="21"/>
        <v>#VALUE!</v>
      </c>
      <c r="BX20" s="564">
        <f t="shared" si="0"/>
        <v>1.5399999999999999E-2</v>
      </c>
      <c r="BY20" s="564">
        <f t="shared" si="22"/>
        <v>1.5179999999999997E-2</v>
      </c>
      <c r="BZ20" s="564" t="e">
        <f t="shared" si="23"/>
        <v>#VALUE!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0.59649122807017541</v>
      </c>
      <c r="CE20" s="610" t="e">
        <f t="shared" si="27"/>
        <v>#VALUE!</v>
      </c>
      <c r="CF20" s="610" t="e">
        <f t="shared" si="36"/>
        <v>#VALUE!</v>
      </c>
      <c r="CG20" s="610" t="e">
        <f t="shared" si="37"/>
        <v>#VALUE!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19.014285714285712</v>
      </c>
      <c r="E21" s="541">
        <f t="shared" ref="E21:BB21" si="38">AVERAGE(E12:E18)</f>
        <v>4.7999999999999994E-2</v>
      </c>
      <c r="F21" s="541">
        <f t="shared" si="38"/>
        <v>4.9499999999999995E-2</v>
      </c>
      <c r="G21" s="540">
        <f t="shared" si="38"/>
        <v>8.7285714285714295</v>
      </c>
      <c r="H21" s="541">
        <f t="shared" si="38"/>
        <v>0.11085714285714286</v>
      </c>
      <c r="I21" s="540">
        <f t="shared" si="38"/>
        <v>2.9428571428571426</v>
      </c>
      <c r="J21" s="541">
        <f t="shared" si="38"/>
        <v>6.9857142857142854E-2</v>
      </c>
      <c r="K21" s="541">
        <f t="shared" si="38"/>
        <v>9.5142857142857147E-3</v>
      </c>
      <c r="L21" s="541">
        <f t="shared" si="38"/>
        <v>2.1999999999999995E-2</v>
      </c>
      <c r="M21" s="540">
        <f t="shared" si="38"/>
        <v>114.28571428571429</v>
      </c>
      <c r="N21" s="540">
        <f t="shared" si="38"/>
        <v>11.285714285714286</v>
      </c>
      <c r="O21" s="540">
        <f t="shared" si="38"/>
        <v>36.74285714285714</v>
      </c>
      <c r="P21" s="540">
        <f t="shared" si="38"/>
        <v>90.857142857142861</v>
      </c>
      <c r="Q21" s="540">
        <f t="shared" si="38"/>
        <v>22.142857142857142</v>
      </c>
      <c r="R21" s="540">
        <f t="shared" si="38"/>
        <v>4.9999999999999996E-2</v>
      </c>
      <c r="S21" s="540">
        <f t="shared" si="38"/>
        <v>3.105</v>
      </c>
      <c r="T21" s="540">
        <f t="shared" si="38"/>
        <v>12.228571428571428</v>
      </c>
      <c r="U21" s="540">
        <f t="shared" si="38"/>
        <v>0.62428571428571433</v>
      </c>
      <c r="V21" s="540">
        <f t="shared" si="38"/>
        <v>3.2285714285714286</v>
      </c>
      <c r="W21" s="540">
        <f t="shared" si="38"/>
        <v>48</v>
      </c>
      <c r="X21" s="540">
        <f t="shared" si="38"/>
        <v>3.4999999999999996E-2</v>
      </c>
      <c r="Y21" s="540">
        <f t="shared" si="38"/>
        <v>3.3428571428571425</v>
      </c>
      <c r="Z21" s="540">
        <f t="shared" si="38"/>
        <v>1.8857142857142857</v>
      </c>
      <c r="AA21" s="540">
        <f t="shared" si="38"/>
        <v>18.62857142857143</v>
      </c>
      <c r="AB21" s="540">
        <f t="shared" si="38"/>
        <v>0.81285714285714283</v>
      </c>
      <c r="AC21" s="541">
        <f t="shared" si="38"/>
        <v>0.74</v>
      </c>
      <c r="AD21" s="541">
        <f t="shared" si="38"/>
        <v>0.1812857142857143</v>
      </c>
      <c r="AE21" s="541">
        <f t="shared" si="38"/>
        <v>0.32999999999999996</v>
      </c>
      <c r="AF21" s="541">
        <f t="shared" si="38"/>
        <v>0.43785714285714289</v>
      </c>
      <c r="AG21" s="541">
        <f t="shared" si="38"/>
        <v>2.2571428571428569E-2</v>
      </c>
      <c r="AH21" s="541">
        <f t="shared" si="38"/>
        <v>1.2271428571428571</v>
      </c>
      <c r="AI21" s="541">
        <f t="shared" si="38"/>
        <v>4.0057142857142854E-2</v>
      </c>
      <c r="AJ21" s="541">
        <f t="shared" si="38"/>
        <v>3.5857142857142858E-2</v>
      </c>
      <c r="AK21" s="541">
        <f t="shared" si="38"/>
        <v>6.4999999999999997E-3</v>
      </c>
      <c r="AL21" s="541">
        <f t="shared" si="38"/>
        <v>9.9999999999999992E-2</v>
      </c>
      <c r="AM21" s="541">
        <f t="shared" si="38"/>
        <v>0.193</v>
      </c>
      <c r="AN21" s="541">
        <f t="shared" si="38"/>
        <v>1.35E-2</v>
      </c>
      <c r="AO21" s="541">
        <f t="shared" si="38"/>
        <v>5.0000000000000001E-3</v>
      </c>
      <c r="AP21" s="541">
        <f t="shared" si="38"/>
        <v>4.8335714285714291</v>
      </c>
      <c r="AQ21" s="541" t="e">
        <f t="shared" si="38"/>
        <v>#DIV/0!</v>
      </c>
      <c r="AR21" s="540">
        <f t="shared" si="38"/>
        <v>0.02</v>
      </c>
      <c r="AS21" s="540">
        <f t="shared" si="38"/>
        <v>0.62571428571428567</v>
      </c>
      <c r="AT21" s="540">
        <f t="shared" si="38"/>
        <v>0.45142857142857146</v>
      </c>
      <c r="AU21" s="540">
        <f t="shared" si="38"/>
        <v>0.19428571428571426</v>
      </c>
      <c r="AV21" s="540">
        <f t="shared" si="38"/>
        <v>0.63142857142857145</v>
      </c>
      <c r="AW21" s="540">
        <f t="shared" si="38"/>
        <v>0.73142857142857143</v>
      </c>
      <c r="AX21" s="540">
        <f t="shared" si="38"/>
        <v>0.50285714285714289</v>
      </c>
      <c r="AY21" s="540">
        <f t="shared" si="38"/>
        <v>3.9285714285714292E-2</v>
      </c>
      <c r="AZ21" s="540">
        <f t="shared" si="38"/>
        <v>1.9142857142857144</v>
      </c>
      <c r="BA21" s="540">
        <f t="shared" si="38"/>
        <v>0.63714285714285712</v>
      </c>
      <c r="BB21" s="540">
        <f t="shared" si="38"/>
        <v>1.5571428571428569</v>
      </c>
      <c r="CD21" s="691">
        <f>AVERAGE(CD12:CD18)</f>
        <v>0.75334617364897483</v>
      </c>
      <c r="CE21" s="691">
        <f>AVERAGE(CE12:CE18)</f>
        <v>0.8120464051371884</v>
      </c>
      <c r="CF21" s="691">
        <f>AVERAGE(CF12:CF18)</f>
        <v>0.17428571428571429</v>
      </c>
      <c r="CG21" s="691">
        <f>AVERAGE(CG12:CG18)</f>
        <v>0.46785714285714292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16.3</v>
      </c>
      <c r="E22" s="545">
        <f t="shared" ref="E22:BB22" si="39">AVERAGE(E7:E20)</f>
        <v>4.7999999999999994E-2</v>
      </c>
      <c r="F22" s="545">
        <f t="shared" si="39"/>
        <v>4.9499999999999995E-2</v>
      </c>
      <c r="G22" s="544">
        <f t="shared" si="39"/>
        <v>6.3428571428571425</v>
      </c>
      <c r="H22" s="545">
        <f t="shared" si="39"/>
        <v>0.11885714285714286</v>
      </c>
      <c r="I22" s="544">
        <f t="shared" si="39"/>
        <v>2.1228571428571428</v>
      </c>
      <c r="J22" s="545">
        <f t="shared" si="39"/>
        <v>6.414285714285714E-2</v>
      </c>
      <c r="K22" s="545">
        <f t="shared" si="39"/>
        <v>1.0883333333333333E-2</v>
      </c>
      <c r="L22" s="545">
        <f t="shared" si="39"/>
        <v>2.1999999999999995E-2</v>
      </c>
      <c r="M22" s="544">
        <f t="shared" si="39"/>
        <v>121.64285714285714</v>
      </c>
      <c r="N22" s="544">
        <f t="shared" si="39"/>
        <v>11.363636363636363</v>
      </c>
      <c r="O22" s="544">
        <f t="shared" si="39"/>
        <v>36.9</v>
      </c>
      <c r="P22" s="544">
        <f t="shared" si="39"/>
        <v>85.428571428571431</v>
      </c>
      <c r="Q22" s="544">
        <f t="shared" si="39"/>
        <v>22.285714285714285</v>
      </c>
      <c r="R22" s="544">
        <f t="shared" si="39"/>
        <v>6.1249999999999992E-2</v>
      </c>
      <c r="S22" s="544">
        <f t="shared" si="39"/>
        <v>3.0542307692307697</v>
      </c>
      <c r="T22" s="544">
        <f t="shared" si="39"/>
        <v>10.114285714285714</v>
      </c>
      <c r="U22" s="544">
        <f t="shared" si="39"/>
        <v>0.69625000000000004</v>
      </c>
      <c r="V22" s="544">
        <f t="shared" si="39"/>
        <v>3.4444444444444442</v>
      </c>
      <c r="W22" s="544">
        <f t="shared" si="39"/>
        <v>46.171428571428571</v>
      </c>
      <c r="X22" s="544">
        <f t="shared" si="39"/>
        <v>3.6888888888888888E-2</v>
      </c>
      <c r="Y22" s="544">
        <f t="shared" si="39"/>
        <v>2.8071428571428569</v>
      </c>
      <c r="Z22" s="544">
        <f t="shared" si="39"/>
        <v>2.2000000000000002</v>
      </c>
      <c r="AA22" s="544">
        <f t="shared" si="39"/>
        <v>15.914285714285713</v>
      </c>
      <c r="AB22" s="544">
        <f t="shared" si="39"/>
        <v>0.63664285714285718</v>
      </c>
      <c r="AC22" s="545">
        <f t="shared" si="39"/>
        <v>0.85888888888888892</v>
      </c>
      <c r="AD22" s="545">
        <f t="shared" si="39"/>
        <v>0.16158333333333333</v>
      </c>
      <c r="AE22" s="545">
        <f t="shared" si="39"/>
        <v>0.39454545454545453</v>
      </c>
      <c r="AF22" s="545">
        <f t="shared" si="39"/>
        <v>0.41738461538461541</v>
      </c>
      <c r="AG22" s="545">
        <f t="shared" si="39"/>
        <v>2.3444444444444445E-2</v>
      </c>
      <c r="AH22" s="545">
        <f t="shared" si="39"/>
        <v>1.3428571428571427</v>
      </c>
      <c r="AI22" s="545">
        <f t="shared" si="39"/>
        <v>4.1490909090909092E-2</v>
      </c>
      <c r="AJ22" s="545">
        <f t="shared" si="39"/>
        <v>3.5416666666666666E-2</v>
      </c>
      <c r="AK22" s="545">
        <f t="shared" si="39"/>
        <v>6.4999999999999997E-3</v>
      </c>
      <c r="AL22" s="545">
        <f t="shared" si="39"/>
        <v>0.17444444444444449</v>
      </c>
      <c r="AM22" s="545">
        <f t="shared" si="39"/>
        <v>0.19554545454545452</v>
      </c>
      <c r="AN22" s="545">
        <f t="shared" si="39"/>
        <v>1.35E-2</v>
      </c>
      <c r="AO22" s="545">
        <f t="shared" si="39"/>
        <v>5.0000000000000001E-3</v>
      </c>
      <c r="AP22" s="545">
        <f t="shared" si="39"/>
        <v>4.2612499999999995</v>
      </c>
      <c r="AQ22" s="545" t="e">
        <f t="shared" si="39"/>
        <v>#DIV/0!</v>
      </c>
      <c r="AR22" s="544">
        <f t="shared" si="39"/>
        <v>0.02</v>
      </c>
      <c r="AS22" s="544">
        <f t="shared" si="39"/>
        <v>0.72</v>
      </c>
      <c r="AT22" s="544">
        <f t="shared" si="39"/>
        <v>0.53400000000000003</v>
      </c>
      <c r="AU22" s="544">
        <f t="shared" si="39"/>
        <v>0.26230769230769241</v>
      </c>
      <c r="AV22" s="544">
        <f t="shared" si="39"/>
        <v>0.82000000000000028</v>
      </c>
      <c r="AW22" s="544">
        <f t="shared" si="39"/>
        <v>0.89628571428571413</v>
      </c>
      <c r="AX22" s="544">
        <f t="shared" si="39"/>
        <v>0.46214285714285713</v>
      </c>
      <c r="AY22" s="544">
        <f t="shared" si="39"/>
        <v>4.1230769230769231E-2</v>
      </c>
      <c r="AZ22" s="544">
        <f t="shared" si="39"/>
        <v>2.2700000000000005</v>
      </c>
      <c r="BA22" s="544">
        <f t="shared" si="39"/>
        <v>0.63314285714285723</v>
      </c>
      <c r="BB22" s="544">
        <f t="shared" si="39"/>
        <v>1.9816666666666665</v>
      </c>
      <c r="CD22" s="691">
        <f>AVERAGE(CD7:CD20)</f>
        <v>0.76590400927780478</v>
      </c>
      <c r="CE22" s="691" t="e">
        <f>AVERAGE(CE7:CE20)</f>
        <v>#VALUE!</v>
      </c>
      <c r="CF22" s="691" t="e">
        <f>AVERAGE(CF7:CF20)</f>
        <v>#VALUE!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30">
        <v>9.6000000000000002E-2</v>
      </c>
      <c r="F23" s="29">
        <v>9.9000000000000005E-2</v>
      </c>
      <c r="G23" s="29">
        <v>2.8000000000000001E-2</v>
      </c>
      <c r="H23" s="30">
        <v>0.04</v>
      </c>
      <c r="I23" s="29">
        <v>4.4999999999999998E-2</v>
      </c>
      <c r="J23" s="29">
        <v>6.0000000000000001E-3</v>
      </c>
      <c r="K23" s="29">
        <v>3.8E-3</v>
      </c>
      <c r="L23" s="26">
        <v>4.3999999999999997E-2</v>
      </c>
      <c r="M23" s="30">
        <v>5.0999999999999996</v>
      </c>
      <c r="N23" s="29">
        <v>5.8</v>
      </c>
      <c r="O23" s="29">
        <v>8.6</v>
      </c>
      <c r="P23" s="29">
        <v>4.0999999999999996</v>
      </c>
      <c r="Q23" s="29">
        <v>2.4</v>
      </c>
      <c r="R23" s="29">
        <v>0.1</v>
      </c>
      <c r="S23" s="29">
        <v>0.67</v>
      </c>
      <c r="T23" s="29">
        <v>0.51</v>
      </c>
      <c r="U23" s="29">
        <v>0.99</v>
      </c>
      <c r="V23" s="29">
        <v>2.7</v>
      </c>
      <c r="W23" s="29">
        <v>4.3</v>
      </c>
      <c r="X23" s="29">
        <v>2.1999999999999999E-2</v>
      </c>
      <c r="Y23" s="29">
        <v>0.34</v>
      </c>
      <c r="Z23" s="29">
        <v>1.4</v>
      </c>
      <c r="AA23" s="29">
        <v>1.4</v>
      </c>
      <c r="AB23" s="29">
        <v>4.1000000000000002E-2</v>
      </c>
      <c r="AC23" s="29">
        <v>0.57999999999999996</v>
      </c>
      <c r="AD23" s="29">
        <v>0.03</v>
      </c>
      <c r="AE23" s="29">
        <v>6.8000000000000005E-2</v>
      </c>
      <c r="AF23" s="29">
        <v>3.5999999999999997E-2</v>
      </c>
      <c r="AG23" s="29">
        <v>1.2E-2</v>
      </c>
      <c r="AH23" s="29">
        <v>4.3999999999999997E-2</v>
      </c>
      <c r="AI23" s="29">
        <v>9.2999999999999992E-3</v>
      </c>
      <c r="AJ23" s="29">
        <v>0.01</v>
      </c>
      <c r="AK23" s="29">
        <v>1.2999999999999999E-2</v>
      </c>
      <c r="AL23" s="27">
        <v>0.16</v>
      </c>
      <c r="AM23" s="58">
        <v>0.06</v>
      </c>
      <c r="AN23" s="58">
        <v>0.28999999999999998</v>
      </c>
      <c r="AO23" s="58">
        <v>0.01</v>
      </c>
      <c r="AP23" s="59">
        <v>0.87</v>
      </c>
      <c r="AQ23" s="60"/>
      <c r="AR23" s="28">
        <v>0.04</v>
      </c>
      <c r="AS23" s="30">
        <v>0.06</v>
      </c>
      <c r="AT23" s="30">
        <v>5.5E-2</v>
      </c>
      <c r="AU23" s="30">
        <v>7.4999999999999997E-2</v>
      </c>
      <c r="AV23" s="30">
        <v>9.5000000000000001E-2</v>
      </c>
      <c r="AW23" s="29">
        <v>6.5000000000000002E-2</v>
      </c>
      <c r="AX23" s="27">
        <v>2.5000000000000001E-2</v>
      </c>
      <c r="AY23" s="27">
        <v>0.01</v>
      </c>
      <c r="AZ23" s="27"/>
      <c r="BA23" s="27"/>
      <c r="BB23" s="26">
        <v>0.55000000000000004</v>
      </c>
    </row>
    <row r="24" spans="2:85" ht="20.149999999999999" customHeight="1" x14ac:dyDescent="0.2">
      <c r="B24" s="692" t="s">
        <v>95</v>
      </c>
      <c r="C24" s="693"/>
      <c r="D24" s="61"/>
      <c r="E24" s="56">
        <v>0.32</v>
      </c>
      <c r="F24" s="55">
        <v>0.33</v>
      </c>
      <c r="G24" s="55">
        <v>9.2999999999999999E-2</v>
      </c>
      <c r="H24" s="56">
        <v>0.13</v>
      </c>
      <c r="I24" s="55">
        <v>0.15</v>
      </c>
      <c r="J24" s="55">
        <v>0.02</v>
      </c>
      <c r="K24" s="55">
        <v>1.2999999999999999E-2</v>
      </c>
      <c r="L24" s="52">
        <v>0.15</v>
      </c>
      <c r="M24" s="56">
        <v>17</v>
      </c>
      <c r="N24" s="55">
        <v>19</v>
      </c>
      <c r="O24" s="55">
        <v>29</v>
      </c>
      <c r="P24" s="55">
        <v>14</v>
      </c>
      <c r="Q24" s="55">
        <v>7.9</v>
      </c>
      <c r="R24" s="55">
        <v>0.33</v>
      </c>
      <c r="S24" s="55">
        <v>2.2000000000000002</v>
      </c>
      <c r="T24" s="55">
        <v>1.7</v>
      </c>
      <c r="U24" s="55">
        <v>3.3</v>
      </c>
      <c r="V24" s="55">
        <v>9</v>
      </c>
      <c r="W24" s="55">
        <v>14</v>
      </c>
      <c r="X24" s="55">
        <v>7.3999999999999996E-2</v>
      </c>
      <c r="Y24" s="55">
        <v>1.1000000000000001</v>
      </c>
      <c r="Z24" s="55">
        <v>4.8</v>
      </c>
      <c r="AA24" s="55">
        <v>4.5</v>
      </c>
      <c r="AB24" s="55">
        <v>0.14000000000000001</v>
      </c>
      <c r="AC24" s="55">
        <v>1.9</v>
      </c>
      <c r="AD24" s="55">
        <v>0.1</v>
      </c>
      <c r="AE24" s="55">
        <v>0.23</v>
      </c>
      <c r="AF24" s="55">
        <v>0.12</v>
      </c>
      <c r="AG24" s="55">
        <v>4.1000000000000002E-2</v>
      </c>
      <c r="AH24" s="55">
        <v>0.15</v>
      </c>
      <c r="AI24" s="55">
        <v>3.1E-2</v>
      </c>
      <c r="AJ24" s="55">
        <v>3.4000000000000002E-2</v>
      </c>
      <c r="AK24" s="55">
        <v>4.3999999999999997E-2</v>
      </c>
      <c r="AL24" s="53">
        <v>0.54</v>
      </c>
      <c r="AM24" s="53">
        <v>0.2</v>
      </c>
      <c r="AN24" s="53">
        <v>0.95</v>
      </c>
      <c r="AO24" s="53">
        <v>3.5000000000000003E-2</v>
      </c>
      <c r="AP24" s="55">
        <v>2.9</v>
      </c>
      <c r="AQ24" s="52"/>
      <c r="AR24" s="54">
        <v>0.12</v>
      </c>
      <c r="AS24" s="56">
        <v>0.19</v>
      </c>
      <c r="AT24" s="56">
        <v>0.18</v>
      </c>
      <c r="AU24" s="56">
        <v>0.24</v>
      </c>
      <c r="AV24" s="56">
        <v>0.31</v>
      </c>
      <c r="AW24" s="55">
        <v>0.22</v>
      </c>
      <c r="AX24" s="53">
        <v>0.09</v>
      </c>
      <c r="AY24" s="53">
        <v>3.5000000000000003E-2</v>
      </c>
      <c r="AZ24" s="53"/>
      <c r="BA24" s="53"/>
      <c r="BB24" s="52">
        <v>1.8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63" priority="6" stopIfTrue="1" operator="notBetween">
      <formula>0.8</formula>
      <formula>1.2</formula>
    </cfRule>
  </conditionalFormatting>
  <conditionalFormatting sqref="BC7:BD20">
    <cfRule type="cellIs" dxfId="62" priority="5" stopIfTrue="1" operator="notBetween">
      <formula>0.9</formula>
      <formula>1.1</formula>
    </cfRule>
  </conditionalFormatting>
  <conditionalFormatting sqref="BP7:BP20">
    <cfRule type="cellIs" dxfId="61" priority="3" stopIfTrue="1" operator="notBetween">
      <formula>0.8</formula>
      <formula>1.2</formula>
    </cfRule>
  </conditionalFormatting>
  <conditionalFormatting sqref="CF7:CF20">
    <cfRule type="cellIs" dxfId="60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539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10.3</v>
      </c>
      <c r="E7" s="28" t="s">
        <v>243</v>
      </c>
      <c r="F7" s="29" t="s">
        <v>526</v>
      </c>
      <c r="G7" s="29">
        <v>1.7</v>
      </c>
      <c r="H7" s="30">
        <v>0.19</v>
      </c>
      <c r="I7" s="29">
        <v>0.25</v>
      </c>
      <c r="J7" s="29">
        <v>1.0999999999999999E-2</v>
      </c>
      <c r="K7" s="29">
        <v>2.1000000000000001E-2</v>
      </c>
      <c r="L7" s="26">
        <v>0.15</v>
      </c>
      <c r="M7" s="28">
        <v>290</v>
      </c>
      <c r="N7" s="29">
        <v>240</v>
      </c>
      <c r="O7" s="29">
        <v>550</v>
      </c>
      <c r="P7" s="29">
        <v>55</v>
      </c>
      <c r="Q7" s="29">
        <v>430</v>
      </c>
      <c r="R7" s="29" t="s">
        <v>527</v>
      </c>
      <c r="S7" s="29">
        <v>26</v>
      </c>
      <c r="T7" s="29">
        <v>17</v>
      </c>
      <c r="U7" s="29" t="s">
        <v>540</v>
      </c>
      <c r="V7" s="29">
        <v>9.1999999999999993</v>
      </c>
      <c r="W7" s="29">
        <v>280</v>
      </c>
      <c r="X7" s="29">
        <v>9.7000000000000003E-2</v>
      </c>
      <c r="Y7" s="29">
        <v>4</v>
      </c>
      <c r="Z7" s="29" t="s">
        <v>69</v>
      </c>
      <c r="AA7" s="29">
        <v>6.6</v>
      </c>
      <c r="AB7" s="29">
        <v>0.19</v>
      </c>
      <c r="AC7" s="29" t="s">
        <v>528</v>
      </c>
      <c r="AD7" s="29">
        <v>0.16</v>
      </c>
      <c r="AE7" s="29" t="s">
        <v>541</v>
      </c>
      <c r="AF7" s="29" t="s">
        <v>542</v>
      </c>
      <c r="AG7" s="29" t="s">
        <v>298</v>
      </c>
      <c r="AH7" s="29">
        <v>5.5</v>
      </c>
      <c r="AI7" s="29">
        <v>6.7000000000000004E-2</v>
      </c>
      <c r="AJ7" s="29">
        <v>0.12</v>
      </c>
      <c r="AK7" s="29">
        <v>1.4E-2</v>
      </c>
      <c r="AL7" s="27" t="s">
        <v>529</v>
      </c>
      <c r="AM7" s="27" t="s">
        <v>530</v>
      </c>
      <c r="AN7" s="27">
        <v>3.7999999999999999E-2</v>
      </c>
      <c r="AO7" s="27">
        <v>1.2E-2</v>
      </c>
      <c r="AP7" s="29">
        <v>1.6</v>
      </c>
      <c r="AQ7" s="27"/>
      <c r="AR7" s="28" t="s">
        <v>257</v>
      </c>
      <c r="AS7" s="30">
        <v>0.31</v>
      </c>
      <c r="AT7" s="30">
        <v>0.4</v>
      </c>
      <c r="AU7" s="30">
        <v>0.15</v>
      </c>
      <c r="AV7" s="30">
        <v>0.18</v>
      </c>
      <c r="AW7" s="30">
        <v>0.24</v>
      </c>
      <c r="AX7" s="29">
        <v>0.2</v>
      </c>
      <c r="AY7" s="27">
        <v>1.9E-2</v>
      </c>
      <c r="AZ7" s="27">
        <v>1</v>
      </c>
      <c r="BA7" s="27">
        <v>0.28000000000000003</v>
      </c>
      <c r="BB7" s="26" t="s">
        <v>304</v>
      </c>
      <c r="BC7" s="619">
        <f>SUM(AR7:AV7)/AZ7</f>
        <v>1.04</v>
      </c>
      <c r="BD7" s="610">
        <f>(SUM(AW7:AY7)-AV7)/BA7</f>
        <v>0.99642857142857144</v>
      </c>
      <c r="BF7" s="610" t="e">
        <f>E7/35.5</f>
        <v>#VALUE!</v>
      </c>
      <c r="BG7" s="610" t="e">
        <f>F7/62</f>
        <v>#VALUE!</v>
      </c>
      <c r="BH7" s="610">
        <f>G7/(96/2)</f>
        <v>3.5416666666666666E-2</v>
      </c>
      <c r="BI7" s="610">
        <f>H7/23</f>
        <v>8.2608695652173908E-3</v>
      </c>
      <c r="BJ7" s="610">
        <f>I7/18</f>
        <v>1.3888888888888888E-2</v>
      </c>
      <c r="BK7" s="610">
        <f>J7/39</f>
        <v>2.8205128205128203E-4</v>
      </c>
      <c r="BL7" s="610">
        <f>K7/(24.3/2)</f>
        <v>1.7283950617283952E-3</v>
      </c>
      <c r="BM7" s="610">
        <f>L7/(40/2)</f>
        <v>7.4999999999999997E-3</v>
      </c>
      <c r="BN7" s="563" t="e">
        <f>SUM(BF7:BH7)*1000</f>
        <v>#VALUE!</v>
      </c>
      <c r="BO7" s="563">
        <f>SUM(BI7:BM7)*1000</f>
        <v>31.660204797885957</v>
      </c>
      <c r="BP7" s="611" t="e">
        <f>BN7/BO7</f>
        <v>#VALUE!</v>
      </c>
      <c r="BR7" s="564">
        <f>1.375*G7</f>
        <v>2.3374999999999999</v>
      </c>
      <c r="BS7" s="564" t="e">
        <f>1.29*F7</f>
        <v>#VALUE!</v>
      </c>
      <c r="BT7" s="564">
        <f>2.5*H7</f>
        <v>0.47499999999999998</v>
      </c>
      <c r="BU7" s="564">
        <f>1.6*AZ7</f>
        <v>1.6</v>
      </c>
      <c r="BV7" s="564">
        <f>BA7</f>
        <v>0.28000000000000003</v>
      </c>
      <c r="BW7" s="564">
        <f>9.19/1000*N7</f>
        <v>2.2056</v>
      </c>
      <c r="BX7" s="564">
        <f t="shared" ref="BX7:BX20" si="0">Q7/1000*1.4</f>
        <v>0.60199999999999998</v>
      </c>
      <c r="BY7" s="564">
        <f>W7/1000*1.38</f>
        <v>0.38640000000000002</v>
      </c>
      <c r="BZ7" s="564">
        <f>S7/1000*1.67</f>
        <v>4.3419999999999993E-2</v>
      </c>
      <c r="CA7" s="564" t="e">
        <f>SUM(BR7:BZ7)</f>
        <v>#VALUE!</v>
      </c>
      <c r="CB7" s="611" t="e">
        <f>CA7/D7</f>
        <v>#VALUE!</v>
      </c>
      <c r="CD7" s="610">
        <f>AZ7/(AZ7+BA7)</f>
        <v>0.78125</v>
      </c>
      <c r="CE7" s="610" t="e">
        <f>BB7/AZ7</f>
        <v>#VALUE!</v>
      </c>
      <c r="CF7" s="610">
        <f t="shared" ref="CF7:CF12" si="1">IF(AW7-AV7&gt;0,AW7-AV7,0)</f>
        <v>0.06</v>
      </c>
      <c r="CG7" s="610">
        <f t="shared" ref="CG7:CG12" si="2">IF(AW7-AV7&gt;0,AX7+AY7,AW7+AX7+AY7-AV7)</f>
        <v>0.219</v>
      </c>
    </row>
    <row r="8" spans="2:85" ht="20.149999999999999" customHeight="1" x14ac:dyDescent="0.2">
      <c r="B8" s="31" t="s">
        <v>61</v>
      </c>
      <c r="C8" s="32" t="s">
        <v>199</v>
      </c>
      <c r="D8" s="33">
        <v>8.5</v>
      </c>
      <c r="E8" s="34" t="s">
        <v>243</v>
      </c>
      <c r="F8" s="35" t="s">
        <v>526</v>
      </c>
      <c r="G8" s="35">
        <v>2.7</v>
      </c>
      <c r="H8" s="36">
        <v>0.28000000000000003</v>
      </c>
      <c r="I8" s="35">
        <v>0.7</v>
      </c>
      <c r="J8" s="35">
        <v>2.7E-2</v>
      </c>
      <c r="K8" s="35">
        <v>2.4E-2</v>
      </c>
      <c r="L8" s="32">
        <v>4.8000000000000001E-2</v>
      </c>
      <c r="M8" s="34">
        <v>190</v>
      </c>
      <c r="N8" s="35" t="s">
        <v>532</v>
      </c>
      <c r="O8" s="35">
        <v>33</v>
      </c>
      <c r="P8" s="35">
        <v>42</v>
      </c>
      <c r="Q8" s="35">
        <v>56</v>
      </c>
      <c r="R8" s="35" t="s">
        <v>527</v>
      </c>
      <c r="S8" s="35">
        <v>3.5</v>
      </c>
      <c r="T8" s="35">
        <v>30</v>
      </c>
      <c r="U8" s="35" t="s">
        <v>540</v>
      </c>
      <c r="V8" s="35" t="s">
        <v>543</v>
      </c>
      <c r="W8" s="35">
        <v>34</v>
      </c>
      <c r="X8" s="35">
        <v>2.8000000000000001E-2</v>
      </c>
      <c r="Y8" s="35">
        <v>8.3000000000000007</v>
      </c>
      <c r="Z8" s="35" t="s">
        <v>69</v>
      </c>
      <c r="AA8" s="35">
        <v>8</v>
      </c>
      <c r="AB8" s="35">
        <v>0.22</v>
      </c>
      <c r="AC8" s="35" t="s">
        <v>528</v>
      </c>
      <c r="AD8" s="35">
        <v>4.2999999999999997E-2</v>
      </c>
      <c r="AE8" s="35">
        <v>0.1</v>
      </c>
      <c r="AF8" s="35">
        <v>9.7000000000000003E-2</v>
      </c>
      <c r="AG8" s="35" t="s">
        <v>298</v>
      </c>
      <c r="AH8" s="35">
        <v>0.48</v>
      </c>
      <c r="AI8" s="35">
        <v>1.4999999999999999E-2</v>
      </c>
      <c r="AJ8" s="35">
        <v>1.4E-2</v>
      </c>
      <c r="AK8" s="35" t="s">
        <v>222</v>
      </c>
      <c r="AL8" s="33" t="s">
        <v>529</v>
      </c>
      <c r="AM8" s="33" t="s">
        <v>530</v>
      </c>
      <c r="AN8" s="33" t="s">
        <v>470</v>
      </c>
      <c r="AO8" s="33" t="s">
        <v>531</v>
      </c>
      <c r="AP8" s="35">
        <v>1.3</v>
      </c>
      <c r="AQ8" s="33"/>
      <c r="AR8" s="34" t="s">
        <v>257</v>
      </c>
      <c r="AS8" s="36">
        <v>0.47</v>
      </c>
      <c r="AT8" s="36">
        <v>0.39</v>
      </c>
      <c r="AU8" s="36">
        <v>0.23</v>
      </c>
      <c r="AV8" s="36">
        <v>0.6</v>
      </c>
      <c r="AW8" s="36">
        <v>0.62</v>
      </c>
      <c r="AX8" s="35">
        <v>0.37</v>
      </c>
      <c r="AY8" s="33">
        <v>3.2000000000000001E-2</v>
      </c>
      <c r="AZ8" s="33">
        <v>1.7</v>
      </c>
      <c r="BA8" s="33">
        <v>0.42</v>
      </c>
      <c r="BB8" s="32" t="s">
        <v>304</v>
      </c>
      <c r="BC8" s="619">
        <f t="shared" ref="BC8:BC20" si="3">SUM(AR8:AV8)/AZ8</f>
        <v>0.99411764705882355</v>
      </c>
      <c r="BD8" s="610">
        <f t="shared" ref="BD8:BD20" si="4">(SUM(AW8:AY8)-AV8)/BA8</f>
        <v>1.004761904761905</v>
      </c>
      <c r="BF8" s="610" t="e">
        <f t="shared" ref="BF8:BF20" si="5">E8/35.5</f>
        <v>#VALUE!</v>
      </c>
      <c r="BG8" s="610" t="e">
        <f t="shared" ref="BG8:BG20" si="6">F8/62</f>
        <v>#VALUE!</v>
      </c>
      <c r="BH8" s="610">
        <f t="shared" ref="BH8:BH20" si="7">G8/(96/2)</f>
        <v>5.6250000000000001E-2</v>
      </c>
      <c r="BI8" s="610">
        <f t="shared" ref="BI8:BI20" si="8">H8/23</f>
        <v>1.2173913043478262E-2</v>
      </c>
      <c r="BJ8" s="610">
        <f t="shared" ref="BJ8:BJ20" si="9">I8/18</f>
        <v>3.888888888888889E-2</v>
      </c>
      <c r="BK8" s="610">
        <f t="shared" ref="BK8:BK20" si="10">J8/39</f>
        <v>6.9230769230769226E-4</v>
      </c>
      <c r="BL8" s="610">
        <f t="shared" ref="BL8:BL20" si="11">K8/(24.3/2)</f>
        <v>1.9753086419753087E-3</v>
      </c>
      <c r="BM8" s="610">
        <f t="shared" ref="BM8:BM20" si="12">L8/(40/2)</f>
        <v>2.4000000000000002E-3</v>
      </c>
      <c r="BN8" s="563" t="e">
        <f t="shared" ref="BN8:BN20" si="13">SUM(BF8:BH8)*1000</f>
        <v>#VALUE!</v>
      </c>
      <c r="BO8" s="563">
        <f t="shared" ref="BO8:BO20" si="14">SUM(BI8:BM8)*1000</f>
        <v>56.130418266650153</v>
      </c>
      <c r="BP8" s="611" t="e">
        <f t="shared" ref="BP8:BP20" si="15">BN8/BO8</f>
        <v>#VALUE!</v>
      </c>
      <c r="BR8" s="564">
        <f t="shared" ref="BR8:BR20" si="16">1.375*G8</f>
        <v>3.7125000000000004</v>
      </c>
      <c r="BS8" s="564" t="e">
        <f t="shared" ref="BS8:BS20" si="17">1.29*F8</f>
        <v>#VALUE!</v>
      </c>
      <c r="BT8" s="564">
        <f t="shared" ref="BT8:BT20" si="18">2.5*H8</f>
        <v>0.70000000000000007</v>
      </c>
      <c r="BU8" s="564">
        <f t="shared" ref="BU8:BU20" si="19">1.6*AZ8</f>
        <v>2.72</v>
      </c>
      <c r="BV8" s="564">
        <f t="shared" ref="BV8:BV20" si="20">BA8</f>
        <v>0.42</v>
      </c>
      <c r="BW8" s="564" t="e">
        <f t="shared" ref="BW8:BW20" si="21">9.19/1000*N8</f>
        <v>#VALUE!</v>
      </c>
      <c r="BX8" s="564">
        <f t="shared" si="0"/>
        <v>7.8399999999999997E-2</v>
      </c>
      <c r="BY8" s="564">
        <f t="shared" ref="BY8:BY20" si="22">W8/1000*1.38</f>
        <v>4.6919999999999996E-2</v>
      </c>
      <c r="BZ8" s="564">
        <f t="shared" ref="BZ8:BZ20" si="23">S8/1000*1.67</f>
        <v>5.8449999999999995E-3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0.80188679245283012</v>
      </c>
      <c r="CE8" s="610" t="e">
        <f t="shared" ref="CE8:CE20" si="27">BB8/AZ8</f>
        <v>#VALUE!</v>
      </c>
      <c r="CF8" s="610">
        <f t="shared" si="1"/>
        <v>2.0000000000000018E-2</v>
      </c>
      <c r="CG8" s="610">
        <f t="shared" si="2"/>
        <v>0.40200000000000002</v>
      </c>
    </row>
    <row r="9" spans="2:85" ht="20.149999999999999" customHeight="1" x14ac:dyDescent="0.2">
      <c r="B9" s="31" t="s">
        <v>61</v>
      </c>
      <c r="C9" s="37" t="s">
        <v>200</v>
      </c>
      <c r="D9" s="33">
        <v>16.600000000000001</v>
      </c>
      <c r="E9" s="34" t="s">
        <v>243</v>
      </c>
      <c r="F9" s="35" t="s">
        <v>526</v>
      </c>
      <c r="G9" s="35">
        <v>4.3</v>
      </c>
      <c r="H9" s="36">
        <v>0.14000000000000001</v>
      </c>
      <c r="I9" s="35">
        <v>1.4</v>
      </c>
      <c r="J9" s="35">
        <v>6.7000000000000004E-2</v>
      </c>
      <c r="K9" s="35">
        <v>1.4999999999999999E-2</v>
      </c>
      <c r="L9" s="32">
        <v>5.0999999999999997E-2</v>
      </c>
      <c r="M9" s="34">
        <v>200</v>
      </c>
      <c r="N9" s="35">
        <v>43</v>
      </c>
      <c r="O9" s="35">
        <v>130</v>
      </c>
      <c r="P9" s="35">
        <v>97</v>
      </c>
      <c r="Q9" s="35">
        <v>86</v>
      </c>
      <c r="R9" s="35" t="s">
        <v>527</v>
      </c>
      <c r="S9" s="35">
        <v>5.9</v>
      </c>
      <c r="T9" s="35">
        <v>32</v>
      </c>
      <c r="U9" s="35">
        <v>1.6</v>
      </c>
      <c r="V9" s="35">
        <v>4.3</v>
      </c>
      <c r="W9" s="35">
        <v>86</v>
      </c>
      <c r="X9" s="35">
        <v>6.9000000000000006E-2</v>
      </c>
      <c r="Y9" s="35">
        <v>8.1999999999999993</v>
      </c>
      <c r="Z9" s="35">
        <v>3</v>
      </c>
      <c r="AA9" s="35">
        <v>15</v>
      </c>
      <c r="AB9" s="35">
        <v>0.39</v>
      </c>
      <c r="AC9" s="35">
        <v>0.8</v>
      </c>
      <c r="AD9" s="35">
        <v>0.16</v>
      </c>
      <c r="AE9" s="35">
        <v>0.37</v>
      </c>
      <c r="AF9" s="35">
        <v>0.68</v>
      </c>
      <c r="AG9" s="35" t="s">
        <v>298</v>
      </c>
      <c r="AH9" s="35">
        <v>1.6</v>
      </c>
      <c r="AI9" s="35">
        <v>4.7E-2</v>
      </c>
      <c r="AJ9" s="35">
        <v>6.2E-2</v>
      </c>
      <c r="AK9" s="35" t="s">
        <v>222</v>
      </c>
      <c r="AL9" s="33" t="s">
        <v>529</v>
      </c>
      <c r="AM9" s="33">
        <v>0.15</v>
      </c>
      <c r="AN9" s="33" t="s">
        <v>470</v>
      </c>
      <c r="AO9" s="33" t="s">
        <v>531</v>
      </c>
      <c r="AP9" s="35">
        <v>1.8</v>
      </c>
      <c r="AQ9" s="33"/>
      <c r="AR9" s="34" t="s">
        <v>257</v>
      </c>
      <c r="AS9" s="36">
        <v>1.1000000000000001</v>
      </c>
      <c r="AT9" s="36">
        <v>0.98</v>
      </c>
      <c r="AU9" s="36">
        <v>0.52</v>
      </c>
      <c r="AV9" s="36">
        <v>1.6</v>
      </c>
      <c r="AW9" s="36">
        <v>2</v>
      </c>
      <c r="AX9" s="35">
        <v>0.56000000000000005</v>
      </c>
      <c r="AY9" s="33">
        <v>6.4000000000000001E-2</v>
      </c>
      <c r="AZ9" s="33">
        <v>4.2</v>
      </c>
      <c r="BA9" s="33">
        <v>1</v>
      </c>
      <c r="BB9" s="32">
        <v>1.8</v>
      </c>
      <c r="BC9" s="619">
        <f t="shared" si="3"/>
        <v>1</v>
      </c>
      <c r="BD9" s="610">
        <f t="shared" si="4"/>
        <v>1.024</v>
      </c>
      <c r="BF9" s="610" t="e">
        <f t="shared" si="5"/>
        <v>#VALUE!</v>
      </c>
      <c r="BG9" s="610" t="e">
        <f t="shared" si="6"/>
        <v>#VALUE!</v>
      </c>
      <c r="BH9" s="610">
        <f t="shared" si="7"/>
        <v>8.9583333333333334E-2</v>
      </c>
      <c r="BI9" s="610">
        <f t="shared" si="8"/>
        <v>6.0869565217391312E-3</v>
      </c>
      <c r="BJ9" s="610">
        <f t="shared" si="9"/>
        <v>7.7777777777777779E-2</v>
      </c>
      <c r="BK9" s="610">
        <f t="shared" si="10"/>
        <v>1.717948717948718E-3</v>
      </c>
      <c r="BL9" s="610">
        <f t="shared" si="11"/>
        <v>1.2345679012345679E-3</v>
      </c>
      <c r="BM9" s="610">
        <f t="shared" si="12"/>
        <v>2.5499999999999997E-3</v>
      </c>
      <c r="BN9" s="563" t="e">
        <f t="shared" si="13"/>
        <v>#VALUE!</v>
      </c>
      <c r="BO9" s="563">
        <f t="shared" si="14"/>
        <v>89.367250918700179</v>
      </c>
      <c r="BP9" s="611" t="e">
        <f t="shared" si="15"/>
        <v>#VALUE!</v>
      </c>
      <c r="BR9" s="564">
        <f t="shared" si="16"/>
        <v>5.9124999999999996</v>
      </c>
      <c r="BS9" s="564" t="e">
        <f t="shared" si="17"/>
        <v>#VALUE!</v>
      </c>
      <c r="BT9" s="564">
        <f t="shared" si="18"/>
        <v>0.35000000000000003</v>
      </c>
      <c r="BU9" s="564">
        <f t="shared" si="19"/>
        <v>6.7200000000000006</v>
      </c>
      <c r="BV9" s="564">
        <f t="shared" si="20"/>
        <v>1</v>
      </c>
      <c r="BW9" s="564">
        <f t="shared" si="21"/>
        <v>0.39517000000000002</v>
      </c>
      <c r="BX9" s="564">
        <f t="shared" si="0"/>
        <v>0.12039999999999998</v>
      </c>
      <c r="BY9" s="564">
        <f t="shared" si="22"/>
        <v>0.11867999999999998</v>
      </c>
      <c r="BZ9" s="564">
        <f t="shared" si="23"/>
        <v>9.8530000000000006E-3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0.80769230769230771</v>
      </c>
      <c r="CE9" s="610">
        <f t="shared" si="27"/>
        <v>0.42857142857142855</v>
      </c>
      <c r="CF9" s="610">
        <f t="shared" si="1"/>
        <v>0.39999999999999991</v>
      </c>
      <c r="CG9" s="610">
        <f t="shared" si="2"/>
        <v>0.62400000000000011</v>
      </c>
    </row>
    <row r="10" spans="2:85" ht="20.149999999999999" customHeight="1" x14ac:dyDescent="0.2">
      <c r="B10" s="31" t="s">
        <v>61</v>
      </c>
      <c r="C10" s="32" t="s">
        <v>82</v>
      </c>
      <c r="D10" s="33">
        <v>15.1</v>
      </c>
      <c r="E10" s="34" t="s">
        <v>243</v>
      </c>
      <c r="F10" s="35">
        <v>0.13</v>
      </c>
      <c r="G10" s="35">
        <v>3.9</v>
      </c>
      <c r="H10" s="36">
        <v>0.27</v>
      </c>
      <c r="I10" s="35">
        <v>1.2</v>
      </c>
      <c r="J10" s="35">
        <v>6.3E-2</v>
      </c>
      <c r="K10" s="35">
        <v>2.9000000000000001E-2</v>
      </c>
      <c r="L10" s="32">
        <v>4.9000000000000002E-2</v>
      </c>
      <c r="M10" s="34">
        <v>180</v>
      </c>
      <c r="N10" s="35" t="s">
        <v>532</v>
      </c>
      <c r="O10" s="35">
        <v>110</v>
      </c>
      <c r="P10" s="35">
        <v>100</v>
      </c>
      <c r="Q10" s="35">
        <v>100</v>
      </c>
      <c r="R10" s="35" t="s">
        <v>527</v>
      </c>
      <c r="S10" s="35">
        <v>10</v>
      </c>
      <c r="T10" s="35">
        <v>35</v>
      </c>
      <c r="U10" s="35">
        <v>1.2</v>
      </c>
      <c r="V10" s="35">
        <v>4</v>
      </c>
      <c r="W10" s="35">
        <v>180</v>
      </c>
      <c r="X10" s="35">
        <v>3.5999999999999997E-2</v>
      </c>
      <c r="Y10" s="35">
        <v>9.6999999999999993</v>
      </c>
      <c r="Z10" s="35">
        <v>9.5</v>
      </c>
      <c r="AA10" s="35">
        <v>23</v>
      </c>
      <c r="AB10" s="35">
        <v>0.33</v>
      </c>
      <c r="AC10" s="35" t="s">
        <v>528</v>
      </c>
      <c r="AD10" s="35">
        <v>5.5E-2</v>
      </c>
      <c r="AE10" s="35">
        <v>0.57999999999999996</v>
      </c>
      <c r="AF10" s="35">
        <v>0.21</v>
      </c>
      <c r="AG10" s="35" t="s">
        <v>298</v>
      </c>
      <c r="AH10" s="35">
        <v>2.5</v>
      </c>
      <c r="AI10" s="35">
        <v>3.2000000000000001E-2</v>
      </c>
      <c r="AJ10" s="35">
        <v>2.8000000000000001E-2</v>
      </c>
      <c r="AK10" s="35" t="s">
        <v>222</v>
      </c>
      <c r="AL10" s="33" t="s">
        <v>529</v>
      </c>
      <c r="AM10" s="33">
        <v>8.1000000000000003E-2</v>
      </c>
      <c r="AN10" s="33" t="s">
        <v>470</v>
      </c>
      <c r="AO10" s="33" t="s">
        <v>531</v>
      </c>
      <c r="AP10" s="35">
        <v>5.9</v>
      </c>
      <c r="AQ10" s="33"/>
      <c r="AR10" s="34" t="s">
        <v>257</v>
      </c>
      <c r="AS10" s="36">
        <v>0.86</v>
      </c>
      <c r="AT10" s="36">
        <v>0.75</v>
      </c>
      <c r="AU10" s="36">
        <v>0.4</v>
      </c>
      <c r="AV10" s="36">
        <v>1.3</v>
      </c>
      <c r="AW10" s="36">
        <v>1.6</v>
      </c>
      <c r="AX10" s="35">
        <v>0.48</v>
      </c>
      <c r="AY10" s="33">
        <v>7.0999999999999994E-2</v>
      </c>
      <c r="AZ10" s="33">
        <v>3.3</v>
      </c>
      <c r="BA10" s="33">
        <v>0.85</v>
      </c>
      <c r="BB10" s="32">
        <v>0.75</v>
      </c>
      <c r="BC10" s="619">
        <f t="shared" si="3"/>
        <v>1.0030303030303029</v>
      </c>
      <c r="BD10" s="610">
        <f t="shared" si="4"/>
        <v>1.0011764705882356</v>
      </c>
      <c r="BF10" s="610" t="e">
        <f t="shared" si="5"/>
        <v>#VALUE!</v>
      </c>
      <c r="BG10" s="610">
        <f t="shared" si="6"/>
        <v>2.096774193548387E-3</v>
      </c>
      <c r="BH10" s="610">
        <f t="shared" si="7"/>
        <v>8.1250000000000003E-2</v>
      </c>
      <c r="BI10" s="610">
        <f t="shared" si="8"/>
        <v>1.173913043478261E-2</v>
      </c>
      <c r="BJ10" s="610">
        <f t="shared" si="9"/>
        <v>6.6666666666666666E-2</v>
      </c>
      <c r="BK10" s="610">
        <f t="shared" si="10"/>
        <v>1.6153846153846153E-3</v>
      </c>
      <c r="BL10" s="610">
        <f t="shared" si="11"/>
        <v>2.3868312757201649E-3</v>
      </c>
      <c r="BM10" s="610">
        <f t="shared" si="12"/>
        <v>2.4499999999999999E-3</v>
      </c>
      <c r="BN10" s="563" t="e">
        <f t="shared" si="13"/>
        <v>#VALUE!</v>
      </c>
      <c r="BO10" s="563">
        <f t="shared" si="14"/>
        <v>84.858012992554052</v>
      </c>
      <c r="BP10" s="611" t="e">
        <f t="shared" si="15"/>
        <v>#VALUE!</v>
      </c>
      <c r="BR10" s="564">
        <f t="shared" si="16"/>
        <v>5.3624999999999998</v>
      </c>
      <c r="BS10" s="564">
        <f t="shared" si="17"/>
        <v>0.16770000000000002</v>
      </c>
      <c r="BT10" s="564">
        <f t="shared" si="18"/>
        <v>0.67500000000000004</v>
      </c>
      <c r="BU10" s="564">
        <f t="shared" si="19"/>
        <v>5.28</v>
      </c>
      <c r="BV10" s="564">
        <f t="shared" si="20"/>
        <v>0.85</v>
      </c>
      <c r="BW10" s="564" t="e">
        <f t="shared" si="21"/>
        <v>#VALUE!</v>
      </c>
      <c r="BX10" s="564">
        <f t="shared" si="0"/>
        <v>0.13999999999999999</v>
      </c>
      <c r="BY10" s="564">
        <f t="shared" si="22"/>
        <v>0.24839999999999998</v>
      </c>
      <c r="BZ10" s="564">
        <f t="shared" si="23"/>
        <v>1.67E-2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0.79518072289156627</v>
      </c>
      <c r="CE10" s="610">
        <f t="shared" si="27"/>
        <v>0.22727272727272729</v>
      </c>
      <c r="CF10" s="610">
        <f t="shared" si="1"/>
        <v>0.30000000000000004</v>
      </c>
      <c r="CG10" s="610">
        <f t="shared" si="2"/>
        <v>0.55099999999999993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32.799999999999997</v>
      </c>
      <c r="E11" s="42" t="s">
        <v>243</v>
      </c>
      <c r="F11" s="43">
        <v>0.11</v>
      </c>
      <c r="G11" s="43">
        <v>8.1</v>
      </c>
      <c r="H11" s="44">
        <v>0.16</v>
      </c>
      <c r="I11" s="43">
        <v>2.9</v>
      </c>
      <c r="J11" s="43">
        <v>0.17</v>
      </c>
      <c r="K11" s="43">
        <v>2.5000000000000001E-2</v>
      </c>
      <c r="L11" s="45">
        <v>7.5999999999999998E-2</v>
      </c>
      <c r="M11" s="42">
        <v>240</v>
      </c>
      <c r="N11" s="43">
        <v>83</v>
      </c>
      <c r="O11" s="43">
        <v>150</v>
      </c>
      <c r="P11" s="43">
        <v>240</v>
      </c>
      <c r="Q11" s="43">
        <v>120</v>
      </c>
      <c r="R11" s="43" t="s">
        <v>527</v>
      </c>
      <c r="S11" s="43">
        <v>12</v>
      </c>
      <c r="T11" s="43">
        <v>37</v>
      </c>
      <c r="U11" s="43">
        <v>1.8</v>
      </c>
      <c r="V11" s="43">
        <v>6.8</v>
      </c>
      <c r="W11" s="43">
        <v>230</v>
      </c>
      <c r="X11" s="43">
        <v>9.7000000000000003E-2</v>
      </c>
      <c r="Y11" s="43">
        <v>9.5</v>
      </c>
      <c r="Z11" s="43">
        <v>5.5</v>
      </c>
      <c r="AA11" s="43">
        <v>33</v>
      </c>
      <c r="AB11" s="43">
        <v>0.62</v>
      </c>
      <c r="AC11" s="43">
        <v>1.5</v>
      </c>
      <c r="AD11" s="43">
        <v>0.26</v>
      </c>
      <c r="AE11" s="43">
        <v>1.2</v>
      </c>
      <c r="AF11" s="43">
        <v>0.97</v>
      </c>
      <c r="AG11" s="43">
        <v>3.3000000000000002E-2</v>
      </c>
      <c r="AH11" s="43">
        <v>5.5</v>
      </c>
      <c r="AI11" s="43">
        <v>0.2</v>
      </c>
      <c r="AJ11" s="43">
        <v>0.15</v>
      </c>
      <c r="AK11" s="43" t="s">
        <v>222</v>
      </c>
      <c r="AL11" s="41" t="s">
        <v>529</v>
      </c>
      <c r="AM11" s="41">
        <v>0.37</v>
      </c>
      <c r="AN11" s="41" t="s">
        <v>470</v>
      </c>
      <c r="AO11" s="41" t="s">
        <v>531</v>
      </c>
      <c r="AP11" s="43">
        <v>6.1</v>
      </c>
      <c r="AQ11" s="41"/>
      <c r="AR11" s="42" t="s">
        <v>257</v>
      </c>
      <c r="AS11" s="44">
        <v>2.2000000000000002</v>
      </c>
      <c r="AT11" s="44">
        <v>1.6</v>
      </c>
      <c r="AU11" s="44">
        <v>0.69</v>
      </c>
      <c r="AV11" s="44">
        <v>3</v>
      </c>
      <c r="AW11" s="44">
        <v>4.2</v>
      </c>
      <c r="AX11" s="43">
        <v>0.75</v>
      </c>
      <c r="AY11" s="41">
        <v>6.6000000000000003E-2</v>
      </c>
      <c r="AZ11" s="41">
        <v>7.5</v>
      </c>
      <c r="BA11" s="41">
        <v>2</v>
      </c>
      <c r="BB11" s="45">
        <v>5.3</v>
      </c>
      <c r="BC11" s="620">
        <f t="shared" si="3"/>
        <v>0.9986666666666667</v>
      </c>
      <c r="BD11" s="617">
        <f t="shared" si="4"/>
        <v>1.008</v>
      </c>
      <c r="BE11" s="616"/>
      <c r="BF11" s="617" t="e">
        <f t="shared" si="5"/>
        <v>#VALUE!</v>
      </c>
      <c r="BG11" s="617">
        <f t="shared" si="6"/>
        <v>1.7741935483870969E-3</v>
      </c>
      <c r="BH11" s="617">
        <f t="shared" si="7"/>
        <v>0.16874999999999998</v>
      </c>
      <c r="BI11" s="617">
        <f t="shared" si="8"/>
        <v>6.956521739130435E-3</v>
      </c>
      <c r="BJ11" s="617">
        <f t="shared" si="9"/>
        <v>0.16111111111111109</v>
      </c>
      <c r="BK11" s="617">
        <f t="shared" si="10"/>
        <v>4.3589743589743596E-3</v>
      </c>
      <c r="BL11" s="617">
        <f t="shared" si="11"/>
        <v>2.05761316872428E-3</v>
      </c>
      <c r="BM11" s="617">
        <f t="shared" si="12"/>
        <v>3.8E-3</v>
      </c>
      <c r="BN11" s="621" t="e">
        <f t="shared" si="13"/>
        <v>#VALUE!</v>
      </c>
      <c r="BO11" s="621">
        <f t="shared" si="14"/>
        <v>178.28422037794016</v>
      </c>
      <c r="BP11" s="618" t="e">
        <f t="shared" si="15"/>
        <v>#VALUE!</v>
      </c>
      <c r="BQ11" s="616"/>
      <c r="BR11" s="615">
        <f t="shared" si="16"/>
        <v>11.137499999999999</v>
      </c>
      <c r="BS11" s="615">
        <f t="shared" si="17"/>
        <v>0.1419</v>
      </c>
      <c r="BT11" s="615">
        <f t="shared" si="18"/>
        <v>0.4</v>
      </c>
      <c r="BU11" s="615">
        <f t="shared" si="19"/>
        <v>12</v>
      </c>
      <c r="BV11" s="615">
        <f t="shared" si="20"/>
        <v>2</v>
      </c>
      <c r="BW11" s="615">
        <f t="shared" si="21"/>
        <v>0.76277000000000006</v>
      </c>
      <c r="BX11" s="615">
        <f t="shared" si="0"/>
        <v>0.16799999999999998</v>
      </c>
      <c r="BY11" s="615">
        <f t="shared" si="22"/>
        <v>0.31740000000000002</v>
      </c>
      <c r="BZ11" s="615">
        <f t="shared" si="23"/>
        <v>2.0039999999999999E-2</v>
      </c>
      <c r="CA11" s="615">
        <f t="shared" si="24"/>
        <v>26.947610000000001</v>
      </c>
      <c r="CB11" s="618">
        <f t="shared" si="25"/>
        <v>0.82157347560975624</v>
      </c>
      <c r="CC11" s="617"/>
      <c r="CD11" s="617">
        <f t="shared" si="26"/>
        <v>0.78947368421052633</v>
      </c>
      <c r="CE11" s="617">
        <f t="shared" si="27"/>
        <v>0.70666666666666667</v>
      </c>
      <c r="CF11" s="617">
        <f t="shared" si="1"/>
        <v>1.2000000000000002</v>
      </c>
      <c r="CG11" s="617">
        <f t="shared" si="2"/>
        <v>0.81600000000000006</v>
      </c>
    </row>
    <row r="12" spans="2:85" ht="20.149999999999999" customHeight="1" x14ac:dyDescent="0.2">
      <c r="B12" s="31" t="s">
        <v>202</v>
      </c>
      <c r="C12" s="46" t="s">
        <v>203</v>
      </c>
      <c r="D12" s="47">
        <v>13.7</v>
      </c>
      <c r="E12" s="630">
        <f t="shared" ref="E12:E18" si="28">0.5*0.096</f>
        <v>4.8000000000000001E-2</v>
      </c>
      <c r="F12" s="625">
        <f>0.5*0.099</f>
        <v>4.9500000000000002E-2</v>
      </c>
      <c r="G12" s="49">
        <v>4.8</v>
      </c>
      <c r="H12" s="50">
        <v>0.37</v>
      </c>
      <c r="I12" s="49">
        <v>1.2</v>
      </c>
      <c r="J12" s="49">
        <v>4.5999999999999999E-2</v>
      </c>
      <c r="K12" s="49">
        <v>0.05</v>
      </c>
      <c r="L12" s="37">
        <v>9.1999999999999998E-2</v>
      </c>
      <c r="M12" s="48">
        <v>500</v>
      </c>
      <c r="N12" s="49">
        <v>130</v>
      </c>
      <c r="O12" s="49">
        <v>230</v>
      </c>
      <c r="P12" s="49">
        <v>70</v>
      </c>
      <c r="Q12" s="49">
        <v>160</v>
      </c>
      <c r="R12" s="49">
        <v>0.16</v>
      </c>
      <c r="S12" s="49">
        <v>10</v>
      </c>
      <c r="T12" s="49">
        <v>24</v>
      </c>
      <c r="U12" s="625">
        <f>0.5*0.99</f>
        <v>0.495</v>
      </c>
      <c r="V12" s="49">
        <v>4</v>
      </c>
      <c r="W12" s="49">
        <v>140</v>
      </c>
      <c r="X12" s="49">
        <v>7.2999999999999995E-2</v>
      </c>
      <c r="Y12" s="49">
        <v>5.6</v>
      </c>
      <c r="Z12" s="625">
        <f>0.5*1.4</f>
        <v>0.7</v>
      </c>
      <c r="AA12" s="49">
        <v>6.6</v>
      </c>
      <c r="AB12" s="49">
        <v>0.28999999999999998</v>
      </c>
      <c r="AC12" s="625">
        <f>0.5*0.58</f>
        <v>0.28999999999999998</v>
      </c>
      <c r="AD12" s="49">
        <v>0.15</v>
      </c>
      <c r="AE12" s="49">
        <v>0.31</v>
      </c>
      <c r="AF12" s="49">
        <v>0.17</v>
      </c>
      <c r="AG12" s="625">
        <f>0.5*0.012</f>
        <v>6.0000000000000001E-3</v>
      </c>
      <c r="AH12" s="49">
        <v>1.5</v>
      </c>
      <c r="AI12" s="49">
        <v>8.8999999999999996E-2</v>
      </c>
      <c r="AJ12" s="49">
        <v>0.08</v>
      </c>
      <c r="AK12" s="625">
        <f t="shared" ref="AK12:AK18" si="29">0.5*0.013</f>
        <v>6.4999999999999997E-3</v>
      </c>
      <c r="AL12" s="47">
        <v>0.56999999999999995</v>
      </c>
      <c r="AM12" s="627">
        <f>0.5*0.06</f>
        <v>0.03</v>
      </c>
      <c r="AN12" s="627">
        <f t="shared" ref="AN12:AN18" si="30">0.5*0.027</f>
        <v>1.35E-2</v>
      </c>
      <c r="AO12" s="627">
        <f t="shared" ref="AO12:AO18" si="31">0.5*0.01</f>
        <v>5.0000000000000001E-3</v>
      </c>
      <c r="AP12" s="49">
        <v>2</v>
      </c>
      <c r="AQ12" s="47"/>
      <c r="AR12" s="630">
        <f t="shared" ref="AR12:AR18" si="32">0.5*0.04</f>
        <v>0.02</v>
      </c>
      <c r="AS12" s="50">
        <v>0.42</v>
      </c>
      <c r="AT12" s="50">
        <v>0.31</v>
      </c>
      <c r="AU12" s="50">
        <v>0.22</v>
      </c>
      <c r="AV12" s="50">
        <v>0.68</v>
      </c>
      <c r="AW12" s="50">
        <v>0.56000000000000005</v>
      </c>
      <c r="AX12" s="49">
        <v>0.39</v>
      </c>
      <c r="AY12" s="47">
        <v>2.9000000000000001E-2</v>
      </c>
      <c r="AZ12" s="47">
        <v>1.6</v>
      </c>
      <c r="BA12" s="47">
        <v>0.3</v>
      </c>
      <c r="BB12" s="37">
        <v>0.68</v>
      </c>
      <c r="BC12" s="619">
        <f t="shared" si="3"/>
        <v>1.0312499999999998</v>
      </c>
      <c r="BD12" s="610">
        <f t="shared" si="4"/>
        <v>0.99666666666666681</v>
      </c>
      <c r="BF12" s="610">
        <f t="shared" si="5"/>
        <v>1.352112676056338E-3</v>
      </c>
      <c r="BG12" s="610">
        <f t="shared" si="6"/>
        <v>7.983870967741936E-4</v>
      </c>
      <c r="BH12" s="610">
        <f t="shared" si="7"/>
        <v>9.9999999999999992E-2</v>
      </c>
      <c r="BI12" s="610">
        <f t="shared" si="8"/>
        <v>1.6086956521739131E-2</v>
      </c>
      <c r="BJ12" s="610">
        <f t="shared" si="9"/>
        <v>6.6666666666666666E-2</v>
      </c>
      <c r="BK12" s="610">
        <f t="shared" si="10"/>
        <v>1.1794871794871796E-3</v>
      </c>
      <c r="BL12" s="610">
        <f t="shared" si="11"/>
        <v>4.11522633744856E-3</v>
      </c>
      <c r="BM12" s="610">
        <f t="shared" si="12"/>
        <v>4.5999999999999999E-3</v>
      </c>
      <c r="BN12" s="563">
        <f t="shared" si="13"/>
        <v>102.15049977283053</v>
      </c>
      <c r="BO12" s="563">
        <f t="shared" si="14"/>
        <v>92.648336705341535</v>
      </c>
      <c r="BP12" s="611">
        <f t="shared" si="15"/>
        <v>1.1025616153014126</v>
      </c>
      <c r="BR12" s="564">
        <f t="shared" si="16"/>
        <v>6.6</v>
      </c>
      <c r="BS12" s="564">
        <f t="shared" si="17"/>
        <v>6.3855000000000009E-2</v>
      </c>
      <c r="BT12" s="564">
        <f t="shared" si="18"/>
        <v>0.92500000000000004</v>
      </c>
      <c r="BU12" s="564">
        <f t="shared" si="19"/>
        <v>2.5600000000000005</v>
      </c>
      <c r="BV12" s="564">
        <f t="shared" si="20"/>
        <v>0.3</v>
      </c>
      <c r="BW12" s="564">
        <f t="shared" si="21"/>
        <v>1.1947000000000001</v>
      </c>
      <c r="BX12" s="564">
        <f t="shared" si="0"/>
        <v>0.22399999999999998</v>
      </c>
      <c r="BY12" s="564">
        <f t="shared" si="22"/>
        <v>0.19320000000000001</v>
      </c>
      <c r="BZ12" s="564">
        <f t="shared" si="23"/>
        <v>1.67E-2</v>
      </c>
      <c r="CA12" s="564">
        <f t="shared" si="24"/>
        <v>12.077455000000002</v>
      </c>
      <c r="CB12" s="611">
        <f t="shared" si="25"/>
        <v>0.8815660583941608</v>
      </c>
      <c r="CC12" s="610"/>
      <c r="CD12" s="610">
        <f t="shared" si="26"/>
        <v>0.84210526315789469</v>
      </c>
      <c r="CE12" s="610">
        <f t="shared" si="27"/>
        <v>0.42499999999999999</v>
      </c>
      <c r="CF12" s="610">
        <f t="shared" si="1"/>
        <v>0</v>
      </c>
      <c r="CG12" s="610">
        <f t="shared" si="2"/>
        <v>0.29900000000000004</v>
      </c>
    </row>
    <row r="13" spans="2:85" ht="20.149999999999999" customHeight="1" x14ac:dyDescent="0.2">
      <c r="B13" s="31" t="s">
        <v>202</v>
      </c>
      <c r="C13" s="40" t="s">
        <v>204</v>
      </c>
      <c r="D13" s="33">
        <v>24.3</v>
      </c>
      <c r="E13" s="623">
        <f t="shared" si="28"/>
        <v>4.8000000000000001E-2</v>
      </c>
      <c r="F13" s="35">
        <v>0.1</v>
      </c>
      <c r="G13" s="35">
        <v>8.3000000000000007</v>
      </c>
      <c r="H13" s="36">
        <v>0.19</v>
      </c>
      <c r="I13" s="35">
        <v>2.9</v>
      </c>
      <c r="J13" s="35">
        <v>9.0999999999999998E-2</v>
      </c>
      <c r="K13" s="35">
        <v>2.4E-2</v>
      </c>
      <c r="L13" s="32">
        <v>0.11</v>
      </c>
      <c r="M13" s="34">
        <v>270</v>
      </c>
      <c r="N13" s="35">
        <v>25</v>
      </c>
      <c r="O13" s="35">
        <v>160</v>
      </c>
      <c r="P13" s="35">
        <v>130</v>
      </c>
      <c r="Q13" s="35">
        <v>180</v>
      </c>
      <c r="R13" s="624">
        <f t="shared" ref="R13:R18" si="33">0.5*0.1</f>
        <v>0.05</v>
      </c>
      <c r="S13" s="35">
        <v>8.4</v>
      </c>
      <c r="T13" s="35">
        <v>30</v>
      </c>
      <c r="U13" s="35">
        <v>1.3</v>
      </c>
      <c r="V13" s="35">
        <v>10</v>
      </c>
      <c r="W13" s="35">
        <v>300</v>
      </c>
      <c r="X13" s="35">
        <v>9.5000000000000001E-2</v>
      </c>
      <c r="Y13" s="35">
        <v>6.5</v>
      </c>
      <c r="Z13" s="35">
        <v>2.2999999999999998</v>
      </c>
      <c r="AA13" s="35">
        <v>27</v>
      </c>
      <c r="AB13" s="35">
        <v>0.72</v>
      </c>
      <c r="AC13" s="35">
        <v>1.2</v>
      </c>
      <c r="AD13" s="35">
        <v>0.33</v>
      </c>
      <c r="AE13" s="35">
        <v>0.39</v>
      </c>
      <c r="AF13" s="35">
        <v>0.43</v>
      </c>
      <c r="AG13" s="35">
        <v>5.0999999999999997E-2</v>
      </c>
      <c r="AH13" s="35">
        <v>1.8</v>
      </c>
      <c r="AI13" s="35">
        <v>0.1</v>
      </c>
      <c r="AJ13" s="35">
        <v>8.3000000000000004E-2</v>
      </c>
      <c r="AK13" s="624">
        <f t="shared" si="29"/>
        <v>6.4999999999999997E-3</v>
      </c>
      <c r="AL13" s="628">
        <f t="shared" ref="AL13:AL18" si="34">0.5*0.16</f>
        <v>0.08</v>
      </c>
      <c r="AM13" s="33">
        <v>0.26</v>
      </c>
      <c r="AN13" s="628">
        <f t="shared" si="30"/>
        <v>1.35E-2</v>
      </c>
      <c r="AO13" s="628">
        <f t="shared" si="31"/>
        <v>5.0000000000000001E-3</v>
      </c>
      <c r="AP13" s="35">
        <v>7.2</v>
      </c>
      <c r="AQ13" s="33"/>
      <c r="AR13" s="623">
        <f t="shared" si="32"/>
        <v>0.02</v>
      </c>
      <c r="AS13" s="36">
        <v>0.9</v>
      </c>
      <c r="AT13" s="36">
        <v>0.66</v>
      </c>
      <c r="AU13" s="36">
        <v>0.34</v>
      </c>
      <c r="AV13" s="36">
        <v>1.5</v>
      </c>
      <c r="AW13" s="36">
        <v>1.9</v>
      </c>
      <c r="AX13" s="35">
        <v>0.76</v>
      </c>
      <c r="AY13" s="33">
        <v>8.7999999999999995E-2</v>
      </c>
      <c r="AZ13" s="33">
        <v>3.4</v>
      </c>
      <c r="BA13" s="33">
        <v>1.2</v>
      </c>
      <c r="BB13" s="32">
        <v>2.1</v>
      </c>
      <c r="BC13" s="619">
        <f t="shared" si="3"/>
        <v>1.0058823529411764</v>
      </c>
      <c r="BD13" s="610">
        <f t="shared" si="4"/>
        <v>1.0400000000000003</v>
      </c>
      <c r="BF13" s="610">
        <f t="shared" si="5"/>
        <v>1.352112676056338E-3</v>
      </c>
      <c r="BG13" s="610">
        <f t="shared" si="6"/>
        <v>1.6129032258064516E-3</v>
      </c>
      <c r="BH13" s="610">
        <f t="shared" si="7"/>
        <v>0.17291666666666669</v>
      </c>
      <c r="BI13" s="610">
        <f t="shared" si="8"/>
        <v>8.2608695652173908E-3</v>
      </c>
      <c r="BJ13" s="610">
        <f t="shared" si="9"/>
        <v>0.16111111111111109</v>
      </c>
      <c r="BK13" s="610">
        <f t="shared" si="10"/>
        <v>2.3333333333333331E-3</v>
      </c>
      <c r="BL13" s="610">
        <f t="shared" si="11"/>
        <v>1.9753086419753087E-3</v>
      </c>
      <c r="BM13" s="610">
        <f t="shared" si="12"/>
        <v>5.4999999999999997E-3</v>
      </c>
      <c r="BN13" s="563">
        <f t="shared" si="13"/>
        <v>175.8816825685295</v>
      </c>
      <c r="BO13" s="563">
        <f t="shared" si="14"/>
        <v>179.18062265163712</v>
      </c>
      <c r="BP13" s="611">
        <f t="shared" si="15"/>
        <v>0.98158874528792428</v>
      </c>
      <c r="BR13" s="564">
        <f t="shared" si="16"/>
        <v>11.412500000000001</v>
      </c>
      <c r="BS13" s="564">
        <f t="shared" si="17"/>
        <v>0.129</v>
      </c>
      <c r="BT13" s="564">
        <f t="shared" si="18"/>
        <v>0.47499999999999998</v>
      </c>
      <c r="BU13" s="564">
        <f t="shared" si="19"/>
        <v>5.44</v>
      </c>
      <c r="BV13" s="564">
        <f t="shared" si="20"/>
        <v>1.2</v>
      </c>
      <c r="BW13" s="564">
        <f t="shared" si="21"/>
        <v>0.22975000000000001</v>
      </c>
      <c r="BX13" s="564">
        <f t="shared" si="0"/>
        <v>0.252</v>
      </c>
      <c r="BY13" s="564">
        <f t="shared" si="22"/>
        <v>0.41399999999999998</v>
      </c>
      <c r="BZ13" s="564">
        <f t="shared" si="23"/>
        <v>1.4028000000000002E-2</v>
      </c>
      <c r="CA13" s="564">
        <f t="shared" si="24"/>
        <v>19.566278000000001</v>
      </c>
      <c r="CB13" s="611">
        <f t="shared" si="25"/>
        <v>0.8051966255144033</v>
      </c>
      <c r="CC13" s="610"/>
      <c r="CD13" s="610">
        <f t="shared" si="26"/>
        <v>0.73913043478260876</v>
      </c>
      <c r="CE13" s="610">
        <f t="shared" si="27"/>
        <v>0.61764705882352944</v>
      </c>
      <c r="CF13" s="610">
        <f t="shared" ref="CF13:CF20" si="35">IF(AW13-AV13&gt;0,AW13-AV13,0)</f>
        <v>0.39999999999999991</v>
      </c>
      <c r="CG13" s="610">
        <f t="shared" ref="CG13:CG20" si="36">IF(AW13-AV13&gt;0,AX13+AY13,AW13+AX13+AY13-AV13)</f>
        <v>0.84799999999999998</v>
      </c>
    </row>
    <row r="14" spans="2:85" ht="20.149999999999999" customHeight="1" x14ac:dyDescent="0.2">
      <c r="B14" s="31" t="s">
        <v>202</v>
      </c>
      <c r="C14" s="32" t="s">
        <v>205</v>
      </c>
      <c r="D14" s="33">
        <v>21.3</v>
      </c>
      <c r="E14" s="623">
        <f t="shared" si="28"/>
        <v>4.8000000000000001E-2</v>
      </c>
      <c r="F14" s="624">
        <f>0.5*0.099</f>
        <v>4.9500000000000002E-2</v>
      </c>
      <c r="G14" s="35">
        <v>8.3000000000000007</v>
      </c>
      <c r="H14" s="36">
        <v>0.12</v>
      </c>
      <c r="I14" s="35">
        <v>2.9</v>
      </c>
      <c r="J14" s="35">
        <v>7.6999999999999999E-2</v>
      </c>
      <c r="K14" s="35">
        <v>1.4999999999999999E-2</v>
      </c>
      <c r="L14" s="32">
        <v>0.1</v>
      </c>
      <c r="M14" s="34">
        <v>170</v>
      </c>
      <c r="N14" s="35">
        <v>52</v>
      </c>
      <c r="O14" s="35">
        <v>160</v>
      </c>
      <c r="P14" s="35">
        <v>110</v>
      </c>
      <c r="Q14" s="35">
        <v>150</v>
      </c>
      <c r="R14" s="624">
        <f t="shared" si="33"/>
        <v>0.05</v>
      </c>
      <c r="S14" s="35">
        <v>8.1</v>
      </c>
      <c r="T14" s="35">
        <v>31</v>
      </c>
      <c r="U14" s="624">
        <f>0.5*0.99</f>
        <v>0.495</v>
      </c>
      <c r="V14" s="35">
        <v>5.8</v>
      </c>
      <c r="W14" s="35">
        <v>180</v>
      </c>
      <c r="X14" s="35">
        <v>7.9000000000000001E-2</v>
      </c>
      <c r="Y14" s="35">
        <v>7.6</v>
      </c>
      <c r="Z14" s="35">
        <v>2.1</v>
      </c>
      <c r="AA14" s="35">
        <v>28</v>
      </c>
      <c r="AB14" s="35">
        <v>0.7</v>
      </c>
      <c r="AC14" s="35">
        <v>0.62</v>
      </c>
      <c r="AD14" s="35">
        <v>0.24</v>
      </c>
      <c r="AE14" s="35">
        <v>0.34</v>
      </c>
      <c r="AF14" s="35">
        <v>0.42</v>
      </c>
      <c r="AG14" s="35">
        <v>2.9000000000000001E-2</v>
      </c>
      <c r="AH14" s="35">
        <v>1.9</v>
      </c>
      <c r="AI14" s="35">
        <v>8.5000000000000006E-2</v>
      </c>
      <c r="AJ14" s="35">
        <v>7.8E-2</v>
      </c>
      <c r="AK14" s="624">
        <f t="shared" si="29"/>
        <v>6.4999999999999997E-3</v>
      </c>
      <c r="AL14" s="628">
        <f t="shared" si="34"/>
        <v>0.08</v>
      </c>
      <c r="AM14" s="33">
        <v>8.4000000000000005E-2</v>
      </c>
      <c r="AN14" s="628">
        <f t="shared" si="30"/>
        <v>1.35E-2</v>
      </c>
      <c r="AO14" s="628">
        <f t="shared" si="31"/>
        <v>5.0000000000000001E-3</v>
      </c>
      <c r="AP14" s="35">
        <v>5.4</v>
      </c>
      <c r="AQ14" s="33"/>
      <c r="AR14" s="623">
        <f t="shared" si="32"/>
        <v>0.02</v>
      </c>
      <c r="AS14" s="36">
        <v>0.78</v>
      </c>
      <c r="AT14" s="36">
        <v>0.62</v>
      </c>
      <c r="AU14" s="36">
        <v>0.32</v>
      </c>
      <c r="AV14" s="36">
        <v>1.3</v>
      </c>
      <c r="AW14" s="36">
        <v>1.6</v>
      </c>
      <c r="AX14" s="35">
        <v>0.75</v>
      </c>
      <c r="AY14" s="33">
        <v>9.4E-2</v>
      </c>
      <c r="AZ14" s="33">
        <v>3</v>
      </c>
      <c r="BA14" s="33">
        <v>1.1000000000000001</v>
      </c>
      <c r="BB14" s="32">
        <v>1.3</v>
      </c>
      <c r="BC14" s="619">
        <f t="shared" si="3"/>
        <v>1.0133333333333334</v>
      </c>
      <c r="BD14" s="610">
        <f t="shared" si="4"/>
        <v>1.0399999999999998</v>
      </c>
      <c r="BF14" s="610">
        <f t="shared" si="5"/>
        <v>1.352112676056338E-3</v>
      </c>
      <c r="BG14" s="610">
        <f t="shared" si="6"/>
        <v>7.983870967741936E-4</v>
      </c>
      <c r="BH14" s="610">
        <f t="shared" si="7"/>
        <v>0.17291666666666669</v>
      </c>
      <c r="BI14" s="610">
        <f t="shared" si="8"/>
        <v>5.2173913043478256E-3</v>
      </c>
      <c r="BJ14" s="610">
        <f t="shared" si="9"/>
        <v>0.16111111111111109</v>
      </c>
      <c r="BK14" s="610">
        <f t="shared" si="10"/>
        <v>1.9743589743589744E-3</v>
      </c>
      <c r="BL14" s="610">
        <f t="shared" si="11"/>
        <v>1.2345679012345679E-3</v>
      </c>
      <c r="BM14" s="610">
        <f t="shared" si="12"/>
        <v>5.0000000000000001E-3</v>
      </c>
      <c r="BN14" s="563">
        <f t="shared" si="13"/>
        <v>175.06716643949721</v>
      </c>
      <c r="BO14" s="563">
        <f t="shared" si="14"/>
        <v>174.53742929105246</v>
      </c>
      <c r="BP14" s="611">
        <f t="shared" si="15"/>
        <v>1.0030350919604836</v>
      </c>
      <c r="BR14" s="564">
        <f t="shared" si="16"/>
        <v>11.412500000000001</v>
      </c>
      <c r="BS14" s="564">
        <f t="shared" si="17"/>
        <v>6.3855000000000009E-2</v>
      </c>
      <c r="BT14" s="564">
        <f t="shared" si="18"/>
        <v>0.3</v>
      </c>
      <c r="BU14" s="564">
        <f t="shared" si="19"/>
        <v>4.8000000000000007</v>
      </c>
      <c r="BV14" s="564">
        <f t="shared" si="20"/>
        <v>1.1000000000000001</v>
      </c>
      <c r="BW14" s="564">
        <f t="shared" si="21"/>
        <v>0.47788000000000003</v>
      </c>
      <c r="BX14" s="564">
        <f t="shared" si="0"/>
        <v>0.21</v>
      </c>
      <c r="BY14" s="564">
        <f t="shared" si="22"/>
        <v>0.24839999999999998</v>
      </c>
      <c r="BZ14" s="564">
        <f t="shared" si="23"/>
        <v>1.3526999999999999E-2</v>
      </c>
      <c r="CA14" s="564">
        <f t="shared" si="24"/>
        <v>18.626162000000004</v>
      </c>
      <c r="CB14" s="611">
        <f t="shared" si="25"/>
        <v>0.87446769953051662</v>
      </c>
      <c r="CC14" s="610"/>
      <c r="CD14" s="610">
        <f t="shared" si="26"/>
        <v>0.73170731707317083</v>
      </c>
      <c r="CE14" s="610">
        <f t="shared" si="27"/>
        <v>0.43333333333333335</v>
      </c>
      <c r="CF14" s="610">
        <f t="shared" si="35"/>
        <v>0.30000000000000004</v>
      </c>
      <c r="CG14" s="610">
        <f t="shared" si="36"/>
        <v>0.84399999999999997</v>
      </c>
    </row>
    <row r="15" spans="2:85" ht="20.149999999999999" customHeight="1" x14ac:dyDescent="0.2">
      <c r="B15" s="31" t="s">
        <v>202</v>
      </c>
      <c r="C15" s="32" t="s">
        <v>206</v>
      </c>
      <c r="D15" s="33">
        <v>25.4</v>
      </c>
      <c r="E15" s="623">
        <f t="shared" si="28"/>
        <v>4.8000000000000001E-2</v>
      </c>
      <c r="F15" s="624">
        <f>0.5*0.099</f>
        <v>4.9500000000000002E-2</v>
      </c>
      <c r="G15" s="35">
        <v>10</v>
      </c>
      <c r="H15" s="36">
        <v>0.21</v>
      </c>
      <c r="I15" s="35">
        <v>3.4</v>
      </c>
      <c r="J15" s="35">
        <v>0.11</v>
      </c>
      <c r="K15" s="35">
        <v>2.8000000000000001E-2</v>
      </c>
      <c r="L15" s="32">
        <v>0.14000000000000001</v>
      </c>
      <c r="M15" s="34">
        <v>180</v>
      </c>
      <c r="N15" s="35">
        <v>91</v>
      </c>
      <c r="O15" s="35">
        <v>170</v>
      </c>
      <c r="P15" s="35">
        <v>130</v>
      </c>
      <c r="Q15" s="35">
        <v>140</v>
      </c>
      <c r="R15" s="624">
        <f t="shared" si="33"/>
        <v>0.05</v>
      </c>
      <c r="S15" s="35">
        <v>8.5</v>
      </c>
      <c r="T15" s="35">
        <v>30</v>
      </c>
      <c r="U15" s="624">
        <f>0.5*0.99</f>
        <v>0.495</v>
      </c>
      <c r="V15" s="35">
        <v>5</v>
      </c>
      <c r="W15" s="35">
        <v>160</v>
      </c>
      <c r="X15" s="35">
        <v>8.5999999999999993E-2</v>
      </c>
      <c r="Y15" s="35">
        <v>8.6999999999999993</v>
      </c>
      <c r="Z15" s="35">
        <v>2.1</v>
      </c>
      <c r="AA15" s="35">
        <v>18</v>
      </c>
      <c r="AB15" s="35">
        <v>0.55000000000000004</v>
      </c>
      <c r="AC15" s="35">
        <v>0.67</v>
      </c>
      <c r="AD15" s="35">
        <v>0.21</v>
      </c>
      <c r="AE15" s="35">
        <v>0.28999999999999998</v>
      </c>
      <c r="AF15" s="35">
        <v>0.41</v>
      </c>
      <c r="AG15" s="35">
        <v>2.1000000000000001E-2</v>
      </c>
      <c r="AH15" s="35">
        <v>2.1</v>
      </c>
      <c r="AI15" s="35">
        <v>7.2999999999999995E-2</v>
      </c>
      <c r="AJ15" s="35">
        <v>7.6999999999999999E-2</v>
      </c>
      <c r="AK15" s="624">
        <f t="shared" si="29"/>
        <v>6.4999999999999997E-3</v>
      </c>
      <c r="AL15" s="628">
        <f t="shared" si="34"/>
        <v>0.08</v>
      </c>
      <c r="AM15" s="33">
        <v>0.15</v>
      </c>
      <c r="AN15" s="628">
        <f t="shared" si="30"/>
        <v>1.35E-2</v>
      </c>
      <c r="AO15" s="628">
        <f t="shared" si="31"/>
        <v>5.0000000000000001E-3</v>
      </c>
      <c r="AP15" s="35">
        <v>5.9</v>
      </c>
      <c r="AQ15" s="33"/>
      <c r="AR15" s="623">
        <f t="shared" si="32"/>
        <v>0.02</v>
      </c>
      <c r="AS15" s="36">
        <v>1.3</v>
      </c>
      <c r="AT15" s="36">
        <v>0.85</v>
      </c>
      <c r="AU15" s="36">
        <v>0.38</v>
      </c>
      <c r="AV15" s="36">
        <v>1.6</v>
      </c>
      <c r="AW15" s="36">
        <v>1.9</v>
      </c>
      <c r="AX15" s="35">
        <v>0.62</v>
      </c>
      <c r="AY15" s="33">
        <v>0.12</v>
      </c>
      <c r="AZ15" s="33">
        <v>4.0999999999999996</v>
      </c>
      <c r="BA15" s="33">
        <v>1</v>
      </c>
      <c r="BB15" s="32">
        <v>2.1</v>
      </c>
      <c r="BC15" s="619">
        <f t="shared" si="3"/>
        <v>1.0121951219512197</v>
      </c>
      <c r="BD15" s="610">
        <f t="shared" si="4"/>
        <v>1.04</v>
      </c>
      <c r="BF15" s="610">
        <f t="shared" si="5"/>
        <v>1.352112676056338E-3</v>
      </c>
      <c r="BG15" s="610">
        <f t="shared" si="6"/>
        <v>7.983870967741936E-4</v>
      </c>
      <c r="BH15" s="610">
        <f t="shared" si="7"/>
        <v>0.20833333333333334</v>
      </c>
      <c r="BI15" s="610">
        <f t="shared" si="8"/>
        <v>9.1304347826086946E-3</v>
      </c>
      <c r="BJ15" s="610">
        <f t="shared" si="9"/>
        <v>0.18888888888888888</v>
      </c>
      <c r="BK15" s="610">
        <f t="shared" si="10"/>
        <v>2.8205128205128207E-3</v>
      </c>
      <c r="BL15" s="610">
        <f t="shared" si="11"/>
        <v>2.3045267489711935E-3</v>
      </c>
      <c r="BM15" s="610">
        <f t="shared" si="12"/>
        <v>7.000000000000001E-3</v>
      </c>
      <c r="BN15" s="563">
        <f t="shared" si="13"/>
        <v>210.48383310616387</v>
      </c>
      <c r="BO15" s="563">
        <f t="shared" si="14"/>
        <v>210.14436324098159</v>
      </c>
      <c r="BP15" s="611">
        <f t="shared" si="15"/>
        <v>1.0016154126617853</v>
      </c>
      <c r="BR15" s="564">
        <f t="shared" si="16"/>
        <v>13.75</v>
      </c>
      <c r="BS15" s="564">
        <f t="shared" si="17"/>
        <v>6.3855000000000009E-2</v>
      </c>
      <c r="BT15" s="564">
        <f t="shared" si="18"/>
        <v>0.52500000000000002</v>
      </c>
      <c r="BU15" s="564">
        <f t="shared" si="19"/>
        <v>6.56</v>
      </c>
      <c r="BV15" s="564">
        <f t="shared" si="20"/>
        <v>1</v>
      </c>
      <c r="BW15" s="564">
        <f t="shared" si="21"/>
        <v>0.83628999999999998</v>
      </c>
      <c r="BX15" s="564">
        <f t="shared" si="0"/>
        <v>0.19600000000000001</v>
      </c>
      <c r="BY15" s="564">
        <f t="shared" si="22"/>
        <v>0.2208</v>
      </c>
      <c r="BZ15" s="564">
        <f t="shared" si="23"/>
        <v>1.4195000000000001E-2</v>
      </c>
      <c r="CA15" s="564">
        <f t="shared" si="24"/>
        <v>23.166140000000006</v>
      </c>
      <c r="CB15" s="611">
        <f t="shared" si="25"/>
        <v>0.91205275590551205</v>
      </c>
      <c r="CC15" s="610"/>
      <c r="CD15" s="610">
        <f t="shared" si="26"/>
        <v>0.80392156862745101</v>
      </c>
      <c r="CE15" s="610">
        <f t="shared" si="27"/>
        <v>0.51219512195121952</v>
      </c>
      <c r="CF15" s="610">
        <f t="shared" si="35"/>
        <v>0.29999999999999982</v>
      </c>
      <c r="CG15" s="610">
        <f t="shared" si="36"/>
        <v>0.74</v>
      </c>
    </row>
    <row r="16" spans="2:85" ht="20.149999999999999" customHeight="1" x14ac:dyDescent="0.2">
      <c r="B16" s="31" t="s">
        <v>202</v>
      </c>
      <c r="C16" s="32" t="s">
        <v>207</v>
      </c>
      <c r="D16" s="33">
        <v>31.4</v>
      </c>
      <c r="E16" s="623">
        <f t="shared" si="28"/>
        <v>4.8000000000000001E-2</v>
      </c>
      <c r="F16" s="624">
        <f>0.5*0.099</f>
        <v>4.9500000000000002E-2</v>
      </c>
      <c r="G16" s="35">
        <v>15</v>
      </c>
      <c r="H16" s="36">
        <v>0.19</v>
      </c>
      <c r="I16" s="35">
        <v>5.0999999999999996</v>
      </c>
      <c r="J16" s="35">
        <v>9.1999999999999998E-2</v>
      </c>
      <c r="K16" s="35">
        <v>2.9000000000000001E-2</v>
      </c>
      <c r="L16" s="32">
        <v>0.28999999999999998</v>
      </c>
      <c r="M16" s="34">
        <v>140</v>
      </c>
      <c r="N16" s="35">
        <v>89</v>
      </c>
      <c r="O16" s="35">
        <v>180</v>
      </c>
      <c r="P16" s="35">
        <v>120</v>
      </c>
      <c r="Q16" s="35">
        <v>150</v>
      </c>
      <c r="R16" s="624">
        <f t="shared" si="33"/>
        <v>0.05</v>
      </c>
      <c r="S16" s="35">
        <v>9.5</v>
      </c>
      <c r="T16" s="35">
        <v>32</v>
      </c>
      <c r="U16" s="35">
        <v>2.1</v>
      </c>
      <c r="V16" s="35">
        <v>9.1999999999999993</v>
      </c>
      <c r="W16" s="35">
        <v>130</v>
      </c>
      <c r="X16" s="35">
        <v>0.12</v>
      </c>
      <c r="Y16" s="35">
        <v>8.6999999999999993</v>
      </c>
      <c r="Z16" s="35">
        <v>3.8</v>
      </c>
      <c r="AA16" s="35">
        <v>35</v>
      </c>
      <c r="AB16" s="35">
        <v>1.5</v>
      </c>
      <c r="AC16" s="35">
        <v>1.5</v>
      </c>
      <c r="AD16" s="35">
        <v>0.32</v>
      </c>
      <c r="AE16" s="35">
        <v>0.59</v>
      </c>
      <c r="AF16" s="35">
        <v>0.89</v>
      </c>
      <c r="AG16" s="35">
        <v>5.8000000000000003E-2</v>
      </c>
      <c r="AH16" s="35">
        <v>4.5999999999999996</v>
      </c>
      <c r="AI16" s="35">
        <v>0.1</v>
      </c>
      <c r="AJ16" s="35">
        <v>0.12</v>
      </c>
      <c r="AK16" s="624">
        <f t="shared" si="29"/>
        <v>6.4999999999999997E-3</v>
      </c>
      <c r="AL16" s="628">
        <f t="shared" si="34"/>
        <v>0.08</v>
      </c>
      <c r="AM16" s="33">
        <v>0.49</v>
      </c>
      <c r="AN16" s="628">
        <f t="shared" si="30"/>
        <v>1.35E-2</v>
      </c>
      <c r="AO16" s="628">
        <f t="shared" si="31"/>
        <v>5.0000000000000001E-3</v>
      </c>
      <c r="AP16" s="35">
        <v>6.8</v>
      </c>
      <c r="AQ16" s="33"/>
      <c r="AR16" s="623">
        <f t="shared" si="32"/>
        <v>0.02</v>
      </c>
      <c r="AS16" s="36">
        <v>0.84</v>
      </c>
      <c r="AT16" s="36">
        <v>0.61</v>
      </c>
      <c r="AU16" s="36">
        <v>0.28999999999999998</v>
      </c>
      <c r="AV16" s="36">
        <v>0.83</v>
      </c>
      <c r="AW16" s="36">
        <v>1.2</v>
      </c>
      <c r="AX16" s="35">
        <v>0.6</v>
      </c>
      <c r="AY16" s="33">
        <v>6.2E-2</v>
      </c>
      <c r="AZ16" s="33">
        <v>2.6</v>
      </c>
      <c r="BA16" s="33">
        <v>1</v>
      </c>
      <c r="BB16" s="32">
        <v>1.4</v>
      </c>
      <c r="BC16" s="619">
        <f t="shared" si="3"/>
        <v>0.99615384615384606</v>
      </c>
      <c r="BD16" s="610">
        <f t="shared" si="4"/>
        <v>1.032</v>
      </c>
      <c r="BF16" s="610">
        <f t="shared" si="5"/>
        <v>1.352112676056338E-3</v>
      </c>
      <c r="BG16" s="610">
        <f t="shared" si="6"/>
        <v>7.983870967741936E-4</v>
      </c>
      <c r="BH16" s="610">
        <f t="shared" si="7"/>
        <v>0.3125</v>
      </c>
      <c r="BI16" s="610">
        <f t="shared" si="8"/>
        <v>8.2608695652173908E-3</v>
      </c>
      <c r="BJ16" s="610">
        <f t="shared" si="9"/>
        <v>0.28333333333333333</v>
      </c>
      <c r="BK16" s="610">
        <f t="shared" si="10"/>
        <v>2.3589743589743591E-3</v>
      </c>
      <c r="BL16" s="610">
        <f t="shared" si="11"/>
        <v>2.3868312757201649E-3</v>
      </c>
      <c r="BM16" s="610">
        <f t="shared" si="12"/>
        <v>1.4499999999999999E-2</v>
      </c>
      <c r="BN16" s="563">
        <f t="shared" si="13"/>
        <v>314.65049977283053</v>
      </c>
      <c r="BO16" s="563">
        <f t="shared" si="14"/>
        <v>310.84000853324522</v>
      </c>
      <c r="BP16" s="611">
        <f t="shared" si="15"/>
        <v>1.0122586897921082</v>
      </c>
      <c r="BR16" s="564">
        <f t="shared" si="16"/>
        <v>20.625</v>
      </c>
      <c r="BS16" s="564">
        <f t="shared" si="17"/>
        <v>6.3855000000000009E-2</v>
      </c>
      <c r="BT16" s="564">
        <f t="shared" si="18"/>
        <v>0.47499999999999998</v>
      </c>
      <c r="BU16" s="564">
        <f t="shared" si="19"/>
        <v>4.16</v>
      </c>
      <c r="BV16" s="564">
        <f t="shared" si="20"/>
        <v>1</v>
      </c>
      <c r="BW16" s="564">
        <f t="shared" si="21"/>
        <v>0.81791000000000003</v>
      </c>
      <c r="BX16" s="564">
        <f t="shared" si="0"/>
        <v>0.21</v>
      </c>
      <c r="BY16" s="564">
        <f t="shared" si="22"/>
        <v>0.1794</v>
      </c>
      <c r="BZ16" s="564">
        <f t="shared" si="23"/>
        <v>1.5865000000000001E-2</v>
      </c>
      <c r="CA16" s="564">
        <f t="shared" si="24"/>
        <v>27.547030000000007</v>
      </c>
      <c r="CB16" s="611">
        <f t="shared" si="25"/>
        <v>0.87729394904458624</v>
      </c>
      <c r="CC16" s="610"/>
      <c r="CD16" s="610">
        <f t="shared" si="26"/>
        <v>0.72222222222222221</v>
      </c>
      <c r="CE16" s="610">
        <f t="shared" si="27"/>
        <v>0.53846153846153844</v>
      </c>
      <c r="CF16" s="610">
        <f t="shared" si="35"/>
        <v>0.37</v>
      </c>
      <c r="CG16" s="610">
        <f t="shared" si="36"/>
        <v>0.66199999999999992</v>
      </c>
    </row>
    <row r="17" spans="2:85" ht="20.149999999999999" customHeight="1" x14ac:dyDescent="0.2">
      <c r="B17" s="31" t="s">
        <v>202</v>
      </c>
      <c r="C17" s="32" t="s">
        <v>208</v>
      </c>
      <c r="D17" s="33">
        <v>30.9</v>
      </c>
      <c r="E17" s="623">
        <f t="shared" si="28"/>
        <v>4.8000000000000001E-2</v>
      </c>
      <c r="F17" s="624">
        <f>0.5*0.099</f>
        <v>4.9500000000000002E-2</v>
      </c>
      <c r="G17" s="35">
        <v>16</v>
      </c>
      <c r="H17" s="36">
        <v>0.26</v>
      </c>
      <c r="I17" s="35">
        <v>5.4</v>
      </c>
      <c r="J17" s="35">
        <v>0.11</v>
      </c>
      <c r="K17" s="35">
        <v>3.9E-2</v>
      </c>
      <c r="L17" s="32">
        <v>0.42</v>
      </c>
      <c r="M17" s="34">
        <v>150</v>
      </c>
      <c r="N17" s="35">
        <v>110</v>
      </c>
      <c r="O17" s="35">
        <v>290</v>
      </c>
      <c r="P17" s="35">
        <v>150</v>
      </c>
      <c r="Q17" s="35">
        <v>210</v>
      </c>
      <c r="R17" s="624">
        <f t="shared" si="33"/>
        <v>0.05</v>
      </c>
      <c r="S17" s="35">
        <v>11</v>
      </c>
      <c r="T17" s="35">
        <v>30</v>
      </c>
      <c r="U17" s="624">
        <f>0.5*0.99</f>
        <v>0.495</v>
      </c>
      <c r="V17" s="35">
        <v>9.6999999999999993</v>
      </c>
      <c r="W17" s="35">
        <v>160</v>
      </c>
      <c r="X17" s="35">
        <v>0.12</v>
      </c>
      <c r="Y17" s="35">
        <v>8.1</v>
      </c>
      <c r="Z17" s="35">
        <v>5.4</v>
      </c>
      <c r="AA17" s="35">
        <v>42</v>
      </c>
      <c r="AB17" s="35">
        <v>2.2000000000000002</v>
      </c>
      <c r="AC17" s="35">
        <v>2</v>
      </c>
      <c r="AD17" s="35">
        <v>0.5</v>
      </c>
      <c r="AE17" s="35">
        <v>0.49</v>
      </c>
      <c r="AF17" s="35">
        <v>1</v>
      </c>
      <c r="AG17" s="35">
        <v>6.3E-2</v>
      </c>
      <c r="AH17" s="35">
        <v>1.9</v>
      </c>
      <c r="AI17" s="35">
        <v>9.1999999999999998E-2</v>
      </c>
      <c r="AJ17" s="35">
        <v>0.15</v>
      </c>
      <c r="AK17" s="624">
        <f t="shared" si="29"/>
        <v>6.4999999999999997E-3</v>
      </c>
      <c r="AL17" s="628">
        <f t="shared" si="34"/>
        <v>0.08</v>
      </c>
      <c r="AM17" s="33">
        <v>0.25</v>
      </c>
      <c r="AN17" s="628">
        <f t="shared" si="30"/>
        <v>1.35E-2</v>
      </c>
      <c r="AO17" s="628">
        <f t="shared" si="31"/>
        <v>5.0000000000000001E-3</v>
      </c>
      <c r="AP17" s="35">
        <v>13</v>
      </c>
      <c r="AQ17" s="33"/>
      <c r="AR17" s="623">
        <f t="shared" si="32"/>
        <v>0.02</v>
      </c>
      <c r="AS17" s="36">
        <v>0.61</v>
      </c>
      <c r="AT17" s="36">
        <v>0.52</v>
      </c>
      <c r="AU17" s="36">
        <v>0.21</v>
      </c>
      <c r="AV17" s="36">
        <v>0.56999999999999995</v>
      </c>
      <c r="AW17" s="36">
        <v>1.1000000000000001</v>
      </c>
      <c r="AX17" s="35">
        <v>0.52</v>
      </c>
      <c r="AY17" s="33">
        <v>2.4E-2</v>
      </c>
      <c r="AZ17" s="33">
        <v>1.9</v>
      </c>
      <c r="BA17" s="33">
        <v>1.1000000000000001</v>
      </c>
      <c r="BB17" s="32">
        <v>2</v>
      </c>
      <c r="BC17" s="619">
        <f t="shared" si="3"/>
        <v>1.0157894736842104</v>
      </c>
      <c r="BD17" s="610">
        <f t="shared" si="4"/>
        <v>0.97636363636363654</v>
      </c>
      <c r="BF17" s="610">
        <f t="shared" si="5"/>
        <v>1.352112676056338E-3</v>
      </c>
      <c r="BG17" s="610">
        <f t="shared" si="6"/>
        <v>7.983870967741936E-4</v>
      </c>
      <c r="BH17" s="610">
        <f t="shared" si="7"/>
        <v>0.33333333333333331</v>
      </c>
      <c r="BI17" s="610">
        <f t="shared" si="8"/>
        <v>1.1304347826086957E-2</v>
      </c>
      <c r="BJ17" s="610">
        <f t="shared" si="9"/>
        <v>0.30000000000000004</v>
      </c>
      <c r="BK17" s="610">
        <f t="shared" si="10"/>
        <v>2.8205128205128207E-3</v>
      </c>
      <c r="BL17" s="610">
        <f t="shared" si="11"/>
        <v>3.2098765432098763E-3</v>
      </c>
      <c r="BM17" s="610">
        <f t="shared" si="12"/>
        <v>2.0999999999999998E-2</v>
      </c>
      <c r="BN17" s="563">
        <f t="shared" si="13"/>
        <v>335.48383310616384</v>
      </c>
      <c r="BO17" s="563">
        <f t="shared" si="14"/>
        <v>338.33473718980974</v>
      </c>
      <c r="BP17" s="611">
        <f t="shared" si="15"/>
        <v>0.99157371747481393</v>
      </c>
      <c r="BR17" s="564">
        <f t="shared" si="16"/>
        <v>22</v>
      </c>
      <c r="BS17" s="564">
        <f t="shared" si="17"/>
        <v>6.3855000000000009E-2</v>
      </c>
      <c r="BT17" s="564">
        <f t="shared" si="18"/>
        <v>0.65</v>
      </c>
      <c r="BU17" s="564">
        <f t="shared" si="19"/>
        <v>3.04</v>
      </c>
      <c r="BV17" s="564">
        <f t="shared" si="20"/>
        <v>1.1000000000000001</v>
      </c>
      <c r="BW17" s="564">
        <f t="shared" si="21"/>
        <v>1.0109000000000001</v>
      </c>
      <c r="BX17" s="564">
        <f t="shared" si="0"/>
        <v>0.29399999999999998</v>
      </c>
      <c r="BY17" s="564">
        <f t="shared" si="22"/>
        <v>0.2208</v>
      </c>
      <c r="BZ17" s="564">
        <f t="shared" si="23"/>
        <v>1.8369999999999997E-2</v>
      </c>
      <c r="CA17" s="564">
        <f t="shared" si="24"/>
        <v>28.397925000000001</v>
      </c>
      <c r="CB17" s="611">
        <f t="shared" si="25"/>
        <v>0.91902669902912626</v>
      </c>
      <c r="CC17" s="610"/>
      <c r="CD17" s="610">
        <f t="shared" si="26"/>
        <v>0.6333333333333333</v>
      </c>
      <c r="CE17" s="610">
        <f t="shared" si="27"/>
        <v>1.0526315789473684</v>
      </c>
      <c r="CF17" s="610">
        <f t="shared" si="35"/>
        <v>0.53000000000000014</v>
      </c>
      <c r="CG17" s="610">
        <f t="shared" si="36"/>
        <v>0.54400000000000004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30</v>
      </c>
      <c r="E18" s="631">
        <f t="shared" si="28"/>
        <v>4.8000000000000001E-2</v>
      </c>
      <c r="F18" s="626">
        <f>0.5*0.099</f>
        <v>4.9500000000000002E-2</v>
      </c>
      <c r="G18" s="43">
        <v>14</v>
      </c>
      <c r="H18" s="44">
        <v>0.1</v>
      </c>
      <c r="I18" s="43">
        <v>4.7</v>
      </c>
      <c r="J18" s="43">
        <v>0.11</v>
      </c>
      <c r="K18" s="43">
        <v>1.2E-2</v>
      </c>
      <c r="L18" s="45">
        <v>0.23</v>
      </c>
      <c r="M18" s="42">
        <v>130</v>
      </c>
      <c r="N18" s="43">
        <v>110</v>
      </c>
      <c r="O18" s="43">
        <v>430</v>
      </c>
      <c r="P18" s="43">
        <v>160</v>
      </c>
      <c r="Q18" s="43">
        <v>310</v>
      </c>
      <c r="R18" s="626">
        <f t="shared" si="33"/>
        <v>0.05</v>
      </c>
      <c r="S18" s="43">
        <v>15</v>
      </c>
      <c r="T18" s="43">
        <v>17</v>
      </c>
      <c r="U18" s="43">
        <v>1.4</v>
      </c>
      <c r="V18" s="43">
        <v>12</v>
      </c>
      <c r="W18" s="43">
        <v>200</v>
      </c>
      <c r="X18" s="43">
        <v>0.12</v>
      </c>
      <c r="Y18" s="43">
        <v>4.8</v>
      </c>
      <c r="Z18" s="43">
        <v>4.3</v>
      </c>
      <c r="AA18" s="43">
        <v>40</v>
      </c>
      <c r="AB18" s="43">
        <v>2.4</v>
      </c>
      <c r="AC18" s="43">
        <v>2.2000000000000002</v>
      </c>
      <c r="AD18" s="43">
        <v>0.51</v>
      </c>
      <c r="AE18" s="43">
        <v>0.38</v>
      </c>
      <c r="AF18" s="43">
        <v>0.95</v>
      </c>
      <c r="AG18" s="43">
        <v>5.8999999999999997E-2</v>
      </c>
      <c r="AH18" s="43">
        <v>1.8</v>
      </c>
      <c r="AI18" s="43">
        <v>0.06</v>
      </c>
      <c r="AJ18" s="43">
        <v>0.12</v>
      </c>
      <c r="AK18" s="626">
        <f t="shared" si="29"/>
        <v>6.4999999999999997E-3</v>
      </c>
      <c r="AL18" s="629">
        <f t="shared" si="34"/>
        <v>0.08</v>
      </c>
      <c r="AM18" s="41">
        <v>0.19</v>
      </c>
      <c r="AN18" s="629">
        <f t="shared" si="30"/>
        <v>1.35E-2</v>
      </c>
      <c r="AO18" s="629">
        <f t="shared" si="31"/>
        <v>5.0000000000000001E-3</v>
      </c>
      <c r="AP18" s="43">
        <v>10</v>
      </c>
      <c r="AQ18" s="41"/>
      <c r="AR18" s="631">
        <f t="shared" si="32"/>
        <v>0.02</v>
      </c>
      <c r="AS18" s="44">
        <v>0.55000000000000004</v>
      </c>
      <c r="AT18" s="44">
        <v>0.55000000000000004</v>
      </c>
      <c r="AU18" s="44">
        <v>0.2</v>
      </c>
      <c r="AV18" s="44">
        <v>0.57999999999999996</v>
      </c>
      <c r="AW18" s="44">
        <v>1.1000000000000001</v>
      </c>
      <c r="AX18" s="43">
        <v>0.56999999999999995</v>
      </c>
      <c r="AY18" s="41">
        <v>0.1</v>
      </c>
      <c r="AZ18" s="41">
        <v>1.9</v>
      </c>
      <c r="BA18" s="41">
        <v>1.2</v>
      </c>
      <c r="BB18" s="45">
        <v>1.1000000000000001</v>
      </c>
      <c r="BC18" s="620">
        <f t="shared" si="3"/>
        <v>1</v>
      </c>
      <c r="BD18" s="617">
        <f t="shared" si="4"/>
        <v>0.9916666666666667</v>
      </c>
      <c r="BE18" s="616"/>
      <c r="BF18" s="617">
        <f t="shared" si="5"/>
        <v>1.352112676056338E-3</v>
      </c>
      <c r="BG18" s="617">
        <f t="shared" si="6"/>
        <v>7.983870967741936E-4</v>
      </c>
      <c r="BH18" s="617">
        <f t="shared" si="7"/>
        <v>0.29166666666666669</v>
      </c>
      <c r="BI18" s="617">
        <f t="shared" si="8"/>
        <v>4.3478260869565218E-3</v>
      </c>
      <c r="BJ18" s="617">
        <f t="shared" si="9"/>
        <v>0.26111111111111113</v>
      </c>
      <c r="BK18" s="617">
        <f t="shared" si="10"/>
        <v>2.8205128205128207E-3</v>
      </c>
      <c r="BL18" s="617">
        <f t="shared" si="11"/>
        <v>9.8765432098765434E-4</v>
      </c>
      <c r="BM18" s="617">
        <f t="shared" si="12"/>
        <v>1.15E-2</v>
      </c>
      <c r="BN18" s="621">
        <f t="shared" si="13"/>
        <v>293.81716643949721</v>
      </c>
      <c r="BO18" s="621">
        <f t="shared" si="14"/>
        <v>280.76710433956811</v>
      </c>
      <c r="BP18" s="618">
        <f t="shared" si="15"/>
        <v>1.0464800252530508</v>
      </c>
      <c r="BQ18" s="616"/>
      <c r="BR18" s="615">
        <f t="shared" si="16"/>
        <v>19.25</v>
      </c>
      <c r="BS18" s="615">
        <f t="shared" si="17"/>
        <v>6.3855000000000009E-2</v>
      </c>
      <c r="BT18" s="615">
        <f t="shared" si="18"/>
        <v>0.25</v>
      </c>
      <c r="BU18" s="615">
        <f t="shared" si="19"/>
        <v>3.04</v>
      </c>
      <c r="BV18" s="615">
        <f t="shared" si="20"/>
        <v>1.2</v>
      </c>
      <c r="BW18" s="615">
        <f t="shared" si="21"/>
        <v>1.0109000000000001</v>
      </c>
      <c r="BX18" s="615">
        <f t="shared" si="0"/>
        <v>0.434</v>
      </c>
      <c r="BY18" s="615">
        <f t="shared" si="22"/>
        <v>0.27599999999999997</v>
      </c>
      <c r="BZ18" s="615">
        <f t="shared" si="23"/>
        <v>2.5049999999999999E-2</v>
      </c>
      <c r="CA18" s="615">
        <f t="shared" si="24"/>
        <v>25.549804999999999</v>
      </c>
      <c r="CB18" s="618">
        <f t="shared" si="25"/>
        <v>0.85166016666666666</v>
      </c>
      <c r="CC18" s="617"/>
      <c r="CD18" s="617">
        <f t="shared" si="26"/>
        <v>0.61290322580645162</v>
      </c>
      <c r="CE18" s="617">
        <f t="shared" si="27"/>
        <v>0.57894736842105265</v>
      </c>
      <c r="CF18" s="617">
        <f t="shared" si="35"/>
        <v>0.52000000000000013</v>
      </c>
      <c r="CG18" s="617">
        <f t="shared" si="36"/>
        <v>0.66999999999999993</v>
      </c>
    </row>
    <row r="19" spans="2:85" ht="20.149999999999999" customHeight="1" x14ac:dyDescent="0.2">
      <c r="B19" s="31" t="s">
        <v>61</v>
      </c>
      <c r="C19" s="46" t="s">
        <v>92</v>
      </c>
      <c r="D19" s="47">
        <v>29.2</v>
      </c>
      <c r="E19" s="48" t="s">
        <v>243</v>
      </c>
      <c r="F19" s="49" t="s">
        <v>526</v>
      </c>
      <c r="G19" s="49">
        <v>13</v>
      </c>
      <c r="H19" s="50">
        <v>0.13</v>
      </c>
      <c r="I19" s="49">
        <v>4.2</v>
      </c>
      <c r="J19" s="49">
        <v>0.08</v>
      </c>
      <c r="K19" s="49">
        <v>1.7999999999999999E-2</v>
      </c>
      <c r="L19" s="37">
        <v>0.33</v>
      </c>
      <c r="M19" s="48">
        <v>150</v>
      </c>
      <c r="N19" s="49">
        <v>400</v>
      </c>
      <c r="O19" s="49">
        <v>770</v>
      </c>
      <c r="P19" s="49">
        <v>150</v>
      </c>
      <c r="Q19" s="49">
        <v>490</v>
      </c>
      <c r="R19" s="49" t="s">
        <v>527</v>
      </c>
      <c r="S19" s="49">
        <v>31</v>
      </c>
      <c r="T19" s="49">
        <v>18</v>
      </c>
      <c r="U19" s="49">
        <v>1.2</v>
      </c>
      <c r="V19" s="49">
        <v>15</v>
      </c>
      <c r="W19" s="49">
        <v>370</v>
      </c>
      <c r="X19" s="49">
        <v>0.17</v>
      </c>
      <c r="Y19" s="49">
        <v>5.2</v>
      </c>
      <c r="Z19" s="49">
        <v>5.5</v>
      </c>
      <c r="AA19" s="49">
        <v>36</v>
      </c>
      <c r="AB19" s="49">
        <v>1.9</v>
      </c>
      <c r="AC19" s="49">
        <v>1.6</v>
      </c>
      <c r="AD19" s="49">
        <v>0.53</v>
      </c>
      <c r="AE19" s="49">
        <v>0.37</v>
      </c>
      <c r="AF19" s="49">
        <v>0.83</v>
      </c>
      <c r="AG19" s="49">
        <v>6.2E-2</v>
      </c>
      <c r="AH19" s="49">
        <v>2.9</v>
      </c>
      <c r="AI19" s="49">
        <v>0.14000000000000001</v>
      </c>
      <c r="AJ19" s="49">
        <v>0.24</v>
      </c>
      <c r="AK19" s="49">
        <v>2.5000000000000001E-2</v>
      </c>
      <c r="AL19" s="47" t="s">
        <v>529</v>
      </c>
      <c r="AM19" s="47">
        <v>0.12</v>
      </c>
      <c r="AN19" s="47" t="s">
        <v>470</v>
      </c>
      <c r="AO19" s="47">
        <v>2.5000000000000001E-2</v>
      </c>
      <c r="AP19" s="49">
        <v>8.8000000000000007</v>
      </c>
      <c r="AQ19" s="47"/>
      <c r="AR19" s="48" t="s">
        <v>257</v>
      </c>
      <c r="AS19" s="50">
        <v>0.38</v>
      </c>
      <c r="AT19" s="50">
        <v>0.4</v>
      </c>
      <c r="AU19" s="50">
        <v>0.23</v>
      </c>
      <c r="AV19" s="50">
        <v>0.47</v>
      </c>
      <c r="AW19" s="50">
        <v>0.74</v>
      </c>
      <c r="AX19" s="49">
        <v>0.47</v>
      </c>
      <c r="AY19" s="47">
        <v>3.1E-2</v>
      </c>
      <c r="AZ19" s="47">
        <v>1.5</v>
      </c>
      <c r="BA19" s="47">
        <v>0.77</v>
      </c>
      <c r="BB19" s="37">
        <v>0.64</v>
      </c>
      <c r="BC19" s="619">
        <f t="shared" si="3"/>
        <v>0.98666666666666669</v>
      </c>
      <c r="BD19" s="610">
        <f t="shared" si="4"/>
        <v>1.0012987012987011</v>
      </c>
      <c r="BF19" s="610" t="e">
        <f t="shared" si="5"/>
        <v>#VALUE!</v>
      </c>
      <c r="BG19" s="610" t="e">
        <f t="shared" si="6"/>
        <v>#VALUE!</v>
      </c>
      <c r="BH19" s="610">
        <f t="shared" si="7"/>
        <v>0.27083333333333331</v>
      </c>
      <c r="BI19" s="610">
        <f t="shared" si="8"/>
        <v>5.6521739130434784E-3</v>
      </c>
      <c r="BJ19" s="610">
        <f t="shared" si="9"/>
        <v>0.23333333333333334</v>
      </c>
      <c r="BK19" s="610">
        <f t="shared" si="10"/>
        <v>2.0512820512820513E-3</v>
      </c>
      <c r="BL19" s="610">
        <f t="shared" si="11"/>
        <v>1.4814814814814814E-3</v>
      </c>
      <c r="BM19" s="610">
        <f t="shared" si="12"/>
        <v>1.6500000000000001E-2</v>
      </c>
      <c r="BN19" s="563" t="e">
        <f t="shared" si="13"/>
        <v>#VALUE!</v>
      </c>
      <c r="BO19" s="563">
        <f t="shared" si="14"/>
        <v>259.01827077914038</v>
      </c>
      <c r="BP19" s="611" t="e">
        <f t="shared" si="15"/>
        <v>#VALUE!</v>
      </c>
      <c r="BR19" s="564">
        <f t="shared" si="16"/>
        <v>17.875</v>
      </c>
      <c r="BS19" s="564" t="e">
        <f t="shared" si="17"/>
        <v>#VALUE!</v>
      </c>
      <c r="BT19" s="564">
        <f t="shared" si="18"/>
        <v>0.32500000000000001</v>
      </c>
      <c r="BU19" s="564">
        <f t="shared" si="19"/>
        <v>2.4000000000000004</v>
      </c>
      <c r="BV19" s="564">
        <f t="shared" si="20"/>
        <v>0.77</v>
      </c>
      <c r="BW19" s="564">
        <f t="shared" si="21"/>
        <v>3.6760000000000002</v>
      </c>
      <c r="BX19" s="564">
        <f t="shared" si="0"/>
        <v>0.68599999999999994</v>
      </c>
      <c r="BY19" s="564">
        <f t="shared" si="22"/>
        <v>0.51059999999999994</v>
      </c>
      <c r="BZ19" s="564">
        <f t="shared" si="23"/>
        <v>5.1769999999999997E-2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0.66079295154185025</v>
      </c>
      <c r="CE19" s="610">
        <f t="shared" si="27"/>
        <v>0.42666666666666669</v>
      </c>
      <c r="CF19" s="610">
        <f t="shared" si="35"/>
        <v>0.27</v>
      </c>
      <c r="CG19" s="610">
        <f t="shared" si="36"/>
        <v>0.501</v>
      </c>
    </row>
    <row r="20" spans="2:85" ht="20.149999999999999" customHeight="1" x14ac:dyDescent="0.2">
      <c r="B20" s="21" t="s">
        <v>61</v>
      </c>
      <c r="C20" s="52" t="s">
        <v>210</v>
      </c>
      <c r="D20" s="53">
        <v>15</v>
      </c>
      <c r="E20" s="54" t="s">
        <v>243</v>
      </c>
      <c r="F20" s="55" t="s">
        <v>526</v>
      </c>
      <c r="G20" s="55">
        <v>3.6</v>
      </c>
      <c r="H20" s="56">
        <v>0.11</v>
      </c>
      <c r="I20" s="55">
        <v>1.1000000000000001</v>
      </c>
      <c r="J20" s="55">
        <v>0.03</v>
      </c>
      <c r="K20" s="55">
        <v>1.4E-2</v>
      </c>
      <c r="L20" s="52">
        <v>0.17</v>
      </c>
      <c r="M20" s="54">
        <v>180</v>
      </c>
      <c r="N20" s="55">
        <v>210</v>
      </c>
      <c r="O20" s="55">
        <v>550</v>
      </c>
      <c r="P20" s="55">
        <v>80</v>
      </c>
      <c r="Q20" s="55">
        <v>420</v>
      </c>
      <c r="R20" s="55" t="s">
        <v>527</v>
      </c>
      <c r="S20" s="55">
        <v>25</v>
      </c>
      <c r="T20" s="55">
        <v>15</v>
      </c>
      <c r="U20" s="55" t="s">
        <v>540</v>
      </c>
      <c r="V20" s="55">
        <v>11</v>
      </c>
      <c r="W20" s="55">
        <v>310</v>
      </c>
      <c r="X20" s="55">
        <v>0.11</v>
      </c>
      <c r="Y20" s="55">
        <v>3.7</v>
      </c>
      <c r="Z20" s="55" t="s">
        <v>69</v>
      </c>
      <c r="AA20" s="55">
        <v>9.9</v>
      </c>
      <c r="AB20" s="55">
        <v>0.43</v>
      </c>
      <c r="AC20" s="55" t="s">
        <v>528</v>
      </c>
      <c r="AD20" s="55">
        <v>0.22</v>
      </c>
      <c r="AE20" s="55" t="s">
        <v>541</v>
      </c>
      <c r="AF20" s="55">
        <v>0.19</v>
      </c>
      <c r="AG20" s="55">
        <v>1.7999999999999999E-2</v>
      </c>
      <c r="AH20" s="55">
        <v>1.6</v>
      </c>
      <c r="AI20" s="55">
        <v>6.8000000000000005E-2</v>
      </c>
      <c r="AJ20" s="55">
        <v>0.13</v>
      </c>
      <c r="AK20" s="55" t="s">
        <v>222</v>
      </c>
      <c r="AL20" s="53" t="s">
        <v>529</v>
      </c>
      <c r="AM20" s="53" t="s">
        <v>530</v>
      </c>
      <c r="AN20" s="53" t="s">
        <v>470</v>
      </c>
      <c r="AO20" s="53" t="s">
        <v>531</v>
      </c>
      <c r="AP20" s="55">
        <v>2.6</v>
      </c>
      <c r="AQ20" s="53"/>
      <c r="AR20" s="54" t="s">
        <v>257</v>
      </c>
      <c r="AS20" s="56">
        <v>0.2</v>
      </c>
      <c r="AT20" s="56">
        <v>0.18</v>
      </c>
      <c r="AU20" s="56">
        <v>0.12</v>
      </c>
      <c r="AV20" s="56">
        <v>0.34</v>
      </c>
      <c r="AW20" s="56">
        <v>0.34</v>
      </c>
      <c r="AX20" s="55">
        <v>0.34</v>
      </c>
      <c r="AY20" s="53">
        <v>2.3E-2</v>
      </c>
      <c r="AZ20" s="53">
        <v>0.84</v>
      </c>
      <c r="BA20" s="53">
        <v>0.36</v>
      </c>
      <c r="BB20" s="52">
        <v>0.81</v>
      </c>
      <c r="BC20" s="619">
        <f t="shared" si="3"/>
        <v>1.0000000000000002</v>
      </c>
      <c r="BD20" s="610">
        <f t="shared" si="4"/>
        <v>1.0083333333333335</v>
      </c>
      <c r="BF20" s="610" t="e">
        <f t="shared" si="5"/>
        <v>#VALUE!</v>
      </c>
      <c r="BG20" s="610" t="e">
        <f t="shared" si="6"/>
        <v>#VALUE!</v>
      </c>
      <c r="BH20" s="610">
        <f t="shared" si="7"/>
        <v>7.4999999999999997E-2</v>
      </c>
      <c r="BI20" s="610">
        <f t="shared" si="8"/>
        <v>4.7826086956521737E-3</v>
      </c>
      <c r="BJ20" s="610">
        <f t="shared" si="9"/>
        <v>6.1111111111111116E-2</v>
      </c>
      <c r="BK20" s="610">
        <f t="shared" si="10"/>
        <v>7.6923076923076923E-4</v>
      </c>
      <c r="BL20" s="610">
        <f t="shared" si="11"/>
        <v>1.1522633744855968E-3</v>
      </c>
      <c r="BM20" s="610">
        <f t="shared" si="12"/>
        <v>8.5000000000000006E-3</v>
      </c>
      <c r="BN20" s="563" t="e">
        <f t="shared" si="13"/>
        <v>#VALUE!</v>
      </c>
      <c r="BO20" s="563">
        <f t="shared" si="14"/>
        <v>76.315213950479659</v>
      </c>
      <c r="BP20" s="611" t="e">
        <f t="shared" si="15"/>
        <v>#VALUE!</v>
      </c>
      <c r="BR20" s="564">
        <f t="shared" si="16"/>
        <v>4.95</v>
      </c>
      <c r="BS20" s="564" t="e">
        <f t="shared" si="17"/>
        <v>#VALUE!</v>
      </c>
      <c r="BT20" s="564">
        <f t="shared" si="18"/>
        <v>0.27500000000000002</v>
      </c>
      <c r="BU20" s="564">
        <f t="shared" si="19"/>
        <v>1.3440000000000001</v>
      </c>
      <c r="BV20" s="564">
        <f t="shared" si="20"/>
        <v>0.36</v>
      </c>
      <c r="BW20" s="564">
        <f t="shared" si="21"/>
        <v>1.9298999999999999</v>
      </c>
      <c r="BX20" s="564">
        <f t="shared" si="0"/>
        <v>0.58799999999999997</v>
      </c>
      <c r="BY20" s="564">
        <f t="shared" si="22"/>
        <v>0.42779999999999996</v>
      </c>
      <c r="BZ20" s="564">
        <f t="shared" si="23"/>
        <v>4.1750000000000002E-2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0.7</v>
      </c>
      <c r="CE20" s="610">
        <f t="shared" si="27"/>
        <v>0.96428571428571441</v>
      </c>
      <c r="CF20" s="610">
        <f t="shared" si="35"/>
        <v>0</v>
      </c>
      <c r="CG20" s="610">
        <f t="shared" si="36"/>
        <v>0.36300000000000004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25.285714285714285</v>
      </c>
      <c r="E21" s="541">
        <f t="shared" ref="E21:BB21" si="37">AVERAGE(E12:E18)</f>
        <v>4.7999999999999994E-2</v>
      </c>
      <c r="F21" s="541">
        <f t="shared" si="37"/>
        <v>5.671428571428571E-2</v>
      </c>
      <c r="G21" s="540">
        <f t="shared" si="37"/>
        <v>10.914285714285715</v>
      </c>
      <c r="H21" s="541">
        <f t="shared" si="37"/>
        <v>0.20571428571428574</v>
      </c>
      <c r="I21" s="540">
        <f t="shared" si="37"/>
        <v>3.657142857142857</v>
      </c>
      <c r="J21" s="541">
        <f t="shared" si="37"/>
        <v>9.0857142857142859E-2</v>
      </c>
      <c r="K21" s="541">
        <f t="shared" si="37"/>
        <v>2.8142857142857147E-2</v>
      </c>
      <c r="L21" s="541">
        <f t="shared" si="37"/>
        <v>0.19742857142857143</v>
      </c>
      <c r="M21" s="540">
        <f t="shared" si="37"/>
        <v>220</v>
      </c>
      <c r="N21" s="540">
        <f t="shared" si="37"/>
        <v>86.714285714285708</v>
      </c>
      <c r="O21" s="540">
        <f t="shared" si="37"/>
        <v>231.42857142857142</v>
      </c>
      <c r="P21" s="540">
        <f t="shared" si="37"/>
        <v>124.28571428571429</v>
      </c>
      <c r="Q21" s="540">
        <f t="shared" si="37"/>
        <v>185.71428571428572</v>
      </c>
      <c r="R21" s="540">
        <f t="shared" si="37"/>
        <v>6.5714285714285711E-2</v>
      </c>
      <c r="S21" s="540">
        <f t="shared" si="37"/>
        <v>10.071428571428571</v>
      </c>
      <c r="T21" s="540">
        <f t="shared" si="37"/>
        <v>27.714285714285715</v>
      </c>
      <c r="U21" s="540">
        <f t="shared" si="37"/>
        <v>0.96857142857142853</v>
      </c>
      <c r="V21" s="540">
        <f t="shared" si="37"/>
        <v>7.9571428571428573</v>
      </c>
      <c r="W21" s="540">
        <f t="shared" si="37"/>
        <v>181.42857142857142</v>
      </c>
      <c r="X21" s="540">
        <f t="shared" si="37"/>
        <v>9.8999999999999991E-2</v>
      </c>
      <c r="Y21" s="540">
        <f t="shared" si="37"/>
        <v>7.1428571428571415</v>
      </c>
      <c r="Z21" s="540">
        <f t="shared" si="37"/>
        <v>2.9571428571428569</v>
      </c>
      <c r="AA21" s="540">
        <f t="shared" si="37"/>
        <v>28.085714285714285</v>
      </c>
      <c r="AB21" s="540">
        <f t="shared" si="37"/>
        <v>1.1942857142857142</v>
      </c>
      <c r="AC21" s="541">
        <f t="shared" si="37"/>
        <v>1.2114285714285715</v>
      </c>
      <c r="AD21" s="541">
        <f t="shared" si="37"/>
        <v>0.32285714285714284</v>
      </c>
      <c r="AE21" s="541">
        <f t="shared" si="37"/>
        <v>0.39857142857142858</v>
      </c>
      <c r="AF21" s="541">
        <f t="shared" si="37"/>
        <v>0.61</v>
      </c>
      <c r="AG21" s="541">
        <f t="shared" si="37"/>
        <v>4.1000000000000002E-2</v>
      </c>
      <c r="AH21" s="541">
        <f t="shared" si="37"/>
        <v>2.2285714285714286</v>
      </c>
      <c r="AI21" s="541">
        <f t="shared" si="37"/>
        <v>8.5571428571428562E-2</v>
      </c>
      <c r="AJ21" s="541">
        <f t="shared" si="37"/>
        <v>0.10114285714285713</v>
      </c>
      <c r="AK21" s="541">
        <f t="shared" si="37"/>
        <v>6.4999999999999997E-3</v>
      </c>
      <c r="AL21" s="541">
        <f t="shared" si="37"/>
        <v>0.14999999999999997</v>
      </c>
      <c r="AM21" s="541">
        <f t="shared" si="37"/>
        <v>0.20771428571428571</v>
      </c>
      <c r="AN21" s="541">
        <f t="shared" si="37"/>
        <v>1.35E-2</v>
      </c>
      <c r="AO21" s="541">
        <f t="shared" si="37"/>
        <v>5.0000000000000001E-3</v>
      </c>
      <c r="AP21" s="541">
        <f t="shared" si="37"/>
        <v>7.1857142857142851</v>
      </c>
      <c r="AQ21" s="541" t="e">
        <f t="shared" si="37"/>
        <v>#DIV/0!</v>
      </c>
      <c r="AR21" s="540">
        <f t="shared" si="37"/>
        <v>0.02</v>
      </c>
      <c r="AS21" s="540">
        <f t="shared" si="37"/>
        <v>0.77142857142857146</v>
      </c>
      <c r="AT21" s="540">
        <f t="shared" si="37"/>
        <v>0.58857142857142863</v>
      </c>
      <c r="AU21" s="540">
        <f t="shared" si="37"/>
        <v>0.28000000000000003</v>
      </c>
      <c r="AV21" s="540">
        <f t="shared" si="37"/>
        <v>1.0085714285714287</v>
      </c>
      <c r="AW21" s="540">
        <f t="shared" si="37"/>
        <v>1.3371428571428574</v>
      </c>
      <c r="AX21" s="540">
        <f t="shared" si="37"/>
        <v>0.60142857142857142</v>
      </c>
      <c r="AY21" s="540">
        <f t="shared" si="37"/>
        <v>7.3857142857142857E-2</v>
      </c>
      <c r="AZ21" s="540">
        <f t="shared" si="37"/>
        <v>2.6428571428571423</v>
      </c>
      <c r="BA21" s="540">
        <f t="shared" si="37"/>
        <v>0.98571428571428565</v>
      </c>
      <c r="BB21" s="540">
        <f t="shared" si="37"/>
        <v>1.5257142857142856</v>
      </c>
      <c r="CD21" s="691">
        <f>AVERAGE(CD12:CD18)</f>
        <v>0.72647476642901887</v>
      </c>
      <c r="CE21" s="691">
        <f>AVERAGE(CE12:CE18)</f>
        <v>0.59403085713400594</v>
      </c>
      <c r="CF21" s="691">
        <f>AVERAGE(CF12:CF18)</f>
        <v>0.3457142857142857</v>
      </c>
      <c r="CG21" s="691">
        <f>AVERAGE(CG12:CG18)</f>
        <v>0.65814285714285703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21.750000000000004</v>
      </c>
      <c r="E22" s="545">
        <f t="shared" ref="E22:BB22" si="38">AVERAGE(E7:E20)</f>
        <v>4.7999999999999994E-2</v>
      </c>
      <c r="F22" s="545">
        <f t="shared" si="38"/>
        <v>7.0777777777777773E-2</v>
      </c>
      <c r="G22" s="544">
        <f t="shared" si="38"/>
        <v>8.1214285714285701</v>
      </c>
      <c r="H22" s="545">
        <f t="shared" si="38"/>
        <v>0.19428571428571426</v>
      </c>
      <c r="I22" s="544">
        <f t="shared" si="38"/>
        <v>2.6678571428571431</v>
      </c>
      <c r="J22" s="545">
        <f t="shared" si="38"/>
        <v>7.7428571428571416E-2</v>
      </c>
      <c r="K22" s="545">
        <f t="shared" si="38"/>
        <v>2.4499999999999997E-2</v>
      </c>
      <c r="L22" s="545">
        <f t="shared" si="38"/>
        <v>0.16114285714285712</v>
      </c>
      <c r="M22" s="544">
        <f t="shared" si="38"/>
        <v>212.14285714285714</v>
      </c>
      <c r="N22" s="544">
        <f t="shared" si="38"/>
        <v>131.91666666666666</v>
      </c>
      <c r="O22" s="544">
        <f t="shared" si="38"/>
        <v>279.5</v>
      </c>
      <c r="P22" s="544">
        <f t="shared" si="38"/>
        <v>116.71428571428571</v>
      </c>
      <c r="Q22" s="544">
        <f t="shared" si="38"/>
        <v>214.42857142857142</v>
      </c>
      <c r="R22" s="544">
        <f t="shared" si="38"/>
        <v>6.5714285714285711E-2</v>
      </c>
      <c r="S22" s="544">
        <f t="shared" si="38"/>
        <v>13.135714285714286</v>
      </c>
      <c r="T22" s="544">
        <f t="shared" si="38"/>
        <v>27</v>
      </c>
      <c r="U22" s="544">
        <f t="shared" si="38"/>
        <v>1.1436363636363636</v>
      </c>
      <c r="V22" s="544">
        <f t="shared" si="38"/>
        <v>8.1538461538461533</v>
      </c>
      <c r="W22" s="544">
        <f t="shared" si="38"/>
        <v>197.14285714285714</v>
      </c>
      <c r="X22" s="544">
        <f t="shared" si="38"/>
        <v>9.285714285714286E-2</v>
      </c>
      <c r="Y22" s="544">
        <f t="shared" si="38"/>
        <v>7.0428571428571436</v>
      </c>
      <c r="Z22" s="544">
        <f t="shared" si="38"/>
        <v>4.0181818181818185</v>
      </c>
      <c r="AA22" s="544">
        <f t="shared" si="38"/>
        <v>23.435714285714283</v>
      </c>
      <c r="AB22" s="544">
        <f t="shared" si="38"/>
        <v>0.88857142857142857</v>
      </c>
      <c r="AC22" s="545">
        <f t="shared" si="38"/>
        <v>1.238</v>
      </c>
      <c r="AD22" s="545">
        <f t="shared" si="38"/>
        <v>0.26342857142857146</v>
      </c>
      <c r="AE22" s="545">
        <f t="shared" si="38"/>
        <v>0.45083333333333336</v>
      </c>
      <c r="AF22" s="545">
        <f t="shared" si="38"/>
        <v>0.55746153846153856</v>
      </c>
      <c r="AG22" s="545">
        <f t="shared" si="38"/>
        <v>0.04</v>
      </c>
      <c r="AH22" s="545">
        <f t="shared" si="38"/>
        <v>2.5485714285714285</v>
      </c>
      <c r="AI22" s="545">
        <f t="shared" si="38"/>
        <v>8.3428571428571408E-2</v>
      </c>
      <c r="AJ22" s="545">
        <f t="shared" si="38"/>
        <v>0.10371428571428572</v>
      </c>
      <c r="AK22" s="545">
        <f t="shared" si="38"/>
        <v>9.3888888888888876E-3</v>
      </c>
      <c r="AL22" s="545">
        <f t="shared" si="38"/>
        <v>0.14999999999999997</v>
      </c>
      <c r="AM22" s="545">
        <f t="shared" si="38"/>
        <v>0.19772727272727275</v>
      </c>
      <c r="AN22" s="545">
        <f t="shared" si="38"/>
        <v>1.6562500000000001E-2</v>
      </c>
      <c r="AO22" s="545">
        <f t="shared" si="38"/>
        <v>8.0000000000000002E-3</v>
      </c>
      <c r="AP22" s="545">
        <f t="shared" si="38"/>
        <v>5.6</v>
      </c>
      <c r="AQ22" s="545" t="e">
        <f t="shared" si="38"/>
        <v>#DIV/0!</v>
      </c>
      <c r="AR22" s="544">
        <f t="shared" si="38"/>
        <v>0.02</v>
      </c>
      <c r="AS22" s="544">
        <f t="shared" si="38"/>
        <v>0.78000000000000014</v>
      </c>
      <c r="AT22" s="544">
        <f t="shared" si="38"/>
        <v>0.63</v>
      </c>
      <c r="AU22" s="544">
        <f t="shared" si="38"/>
        <v>0.30714285714285711</v>
      </c>
      <c r="AV22" s="544">
        <f t="shared" si="38"/>
        <v>1.0392857142857144</v>
      </c>
      <c r="AW22" s="544">
        <f t="shared" si="38"/>
        <v>1.3642857142857143</v>
      </c>
      <c r="AX22" s="544">
        <f t="shared" si="38"/>
        <v>0.52714285714285714</v>
      </c>
      <c r="AY22" s="544">
        <f t="shared" si="38"/>
        <v>5.8785714285714288E-2</v>
      </c>
      <c r="AZ22" s="544">
        <f t="shared" si="38"/>
        <v>2.7528571428571427</v>
      </c>
      <c r="BA22" s="544">
        <f t="shared" si="38"/>
        <v>0.89857142857142847</v>
      </c>
      <c r="BB22" s="544">
        <f t="shared" si="38"/>
        <v>1.665</v>
      </c>
      <c r="CD22" s="691">
        <f>AVERAGE(CD7:CD20)</f>
        <v>0.74439998741372937</v>
      </c>
      <c r="CE22" s="691" t="e">
        <f>AVERAGE(CE7:CE20)</f>
        <v>#VALUE!</v>
      </c>
      <c r="CF22" s="691">
        <f>AVERAGE(CF7:CF20)</f>
        <v>0.33357142857142857</v>
      </c>
      <c r="CG22" s="691">
        <f>AVERAGE(CG7:CG20)</f>
        <v>0.5773571428571429</v>
      </c>
    </row>
    <row r="23" spans="2:85" ht="20.149999999999999" customHeight="1" x14ac:dyDescent="0.2">
      <c r="B23" s="704" t="s">
        <v>94</v>
      </c>
      <c r="C23" s="705"/>
      <c r="D23" s="57"/>
      <c r="E23" s="30">
        <v>9.6000000000000002E-2</v>
      </c>
      <c r="F23" s="29">
        <v>9.9000000000000005E-2</v>
      </c>
      <c r="G23" s="29">
        <v>2.8000000000000001E-2</v>
      </c>
      <c r="H23" s="30">
        <v>0.04</v>
      </c>
      <c r="I23" s="29">
        <v>4.4999999999999998E-2</v>
      </c>
      <c r="J23" s="29">
        <v>6.0000000000000001E-3</v>
      </c>
      <c r="K23" s="29">
        <v>3.8E-3</v>
      </c>
      <c r="L23" s="26">
        <v>4.3999999999999997E-2</v>
      </c>
      <c r="M23" s="30">
        <v>5.0999999999999996</v>
      </c>
      <c r="N23" s="29">
        <v>5.8</v>
      </c>
      <c r="O23" s="29">
        <v>8.6</v>
      </c>
      <c r="P23" s="29">
        <v>4.0999999999999996</v>
      </c>
      <c r="Q23" s="29">
        <v>2.4</v>
      </c>
      <c r="R23" s="29">
        <v>0.1</v>
      </c>
      <c r="S23" s="29">
        <v>0.67</v>
      </c>
      <c r="T23" s="29">
        <v>0.51</v>
      </c>
      <c r="U23" s="29">
        <v>0.99</v>
      </c>
      <c r="V23" s="29">
        <v>2.7</v>
      </c>
      <c r="W23" s="29">
        <v>4.3</v>
      </c>
      <c r="X23" s="29">
        <v>2.1999999999999999E-2</v>
      </c>
      <c r="Y23" s="29">
        <v>0.34</v>
      </c>
      <c r="Z23" s="29">
        <v>1.4</v>
      </c>
      <c r="AA23" s="29">
        <v>1.4</v>
      </c>
      <c r="AB23" s="29">
        <v>4.1000000000000002E-2</v>
      </c>
      <c r="AC23" s="29">
        <v>0.57999999999999996</v>
      </c>
      <c r="AD23" s="29">
        <v>0.03</v>
      </c>
      <c r="AE23" s="29">
        <v>6.8000000000000005E-2</v>
      </c>
      <c r="AF23" s="29">
        <v>3.5999999999999997E-2</v>
      </c>
      <c r="AG23" s="29">
        <v>1.2E-2</v>
      </c>
      <c r="AH23" s="29">
        <v>4.3999999999999997E-2</v>
      </c>
      <c r="AI23" s="29">
        <v>9.2999999999999992E-3</v>
      </c>
      <c r="AJ23" s="29">
        <v>0.01</v>
      </c>
      <c r="AK23" s="29">
        <v>1.2999999999999999E-2</v>
      </c>
      <c r="AL23" s="27">
        <v>0.16</v>
      </c>
      <c r="AM23" s="58">
        <v>0.06</v>
      </c>
      <c r="AN23" s="58">
        <v>0.28999999999999998</v>
      </c>
      <c r="AO23" s="58">
        <v>0.01</v>
      </c>
      <c r="AP23" s="59">
        <v>0.87</v>
      </c>
      <c r="AQ23" s="60"/>
      <c r="AR23" s="28">
        <v>0.04</v>
      </c>
      <c r="AS23" s="30">
        <v>0.06</v>
      </c>
      <c r="AT23" s="30">
        <v>5.5E-2</v>
      </c>
      <c r="AU23" s="30">
        <v>7.4999999999999997E-2</v>
      </c>
      <c r="AV23" s="30">
        <v>9.5000000000000001E-2</v>
      </c>
      <c r="AW23" s="29">
        <v>6.5000000000000002E-2</v>
      </c>
      <c r="AX23" s="27">
        <v>2.5000000000000001E-2</v>
      </c>
      <c r="AY23" s="27">
        <v>0.01</v>
      </c>
      <c r="AZ23" s="27"/>
      <c r="BA23" s="27"/>
      <c r="BB23" s="26">
        <v>0.55000000000000004</v>
      </c>
    </row>
    <row r="24" spans="2:85" ht="20.149999999999999" customHeight="1" x14ac:dyDescent="0.2">
      <c r="B24" s="692" t="s">
        <v>95</v>
      </c>
      <c r="C24" s="693"/>
      <c r="D24" s="61"/>
      <c r="E24" s="56">
        <v>0.32</v>
      </c>
      <c r="F24" s="55">
        <v>0.33</v>
      </c>
      <c r="G24" s="55">
        <v>9.2999999999999999E-2</v>
      </c>
      <c r="H24" s="56">
        <v>0.13</v>
      </c>
      <c r="I24" s="55">
        <v>0.15</v>
      </c>
      <c r="J24" s="55">
        <v>0.02</v>
      </c>
      <c r="K24" s="55">
        <v>1.2999999999999999E-2</v>
      </c>
      <c r="L24" s="52">
        <v>0.15</v>
      </c>
      <c r="M24" s="56">
        <v>17</v>
      </c>
      <c r="N24" s="55">
        <v>19</v>
      </c>
      <c r="O24" s="55">
        <v>29</v>
      </c>
      <c r="P24" s="55">
        <v>14</v>
      </c>
      <c r="Q24" s="55">
        <v>7.9</v>
      </c>
      <c r="R24" s="55">
        <v>0.33</v>
      </c>
      <c r="S24" s="55">
        <v>2.2000000000000002</v>
      </c>
      <c r="T24" s="55">
        <v>1.7</v>
      </c>
      <c r="U24" s="55">
        <v>3.3</v>
      </c>
      <c r="V24" s="55">
        <v>9</v>
      </c>
      <c r="W24" s="55">
        <v>14</v>
      </c>
      <c r="X24" s="55">
        <v>7.3999999999999996E-2</v>
      </c>
      <c r="Y24" s="55">
        <v>1.1000000000000001</v>
      </c>
      <c r="Z24" s="55">
        <v>4.8</v>
      </c>
      <c r="AA24" s="55">
        <v>4.5</v>
      </c>
      <c r="AB24" s="55">
        <v>0.14000000000000001</v>
      </c>
      <c r="AC24" s="55">
        <v>1.9</v>
      </c>
      <c r="AD24" s="55">
        <v>0.1</v>
      </c>
      <c r="AE24" s="55">
        <v>0.23</v>
      </c>
      <c r="AF24" s="55">
        <v>0.12</v>
      </c>
      <c r="AG24" s="55">
        <v>4.1000000000000002E-2</v>
      </c>
      <c r="AH24" s="55">
        <v>0.15</v>
      </c>
      <c r="AI24" s="55">
        <v>3.1E-2</v>
      </c>
      <c r="AJ24" s="55">
        <v>3.4000000000000002E-2</v>
      </c>
      <c r="AK24" s="55">
        <v>4.3999999999999997E-2</v>
      </c>
      <c r="AL24" s="53">
        <v>0.54</v>
      </c>
      <c r="AM24" s="53">
        <v>0.2</v>
      </c>
      <c r="AN24" s="53">
        <v>0.95</v>
      </c>
      <c r="AO24" s="53">
        <v>3.5000000000000003E-2</v>
      </c>
      <c r="AP24" s="55">
        <v>2.9</v>
      </c>
      <c r="AQ24" s="52"/>
      <c r="AR24" s="54">
        <v>0.12</v>
      </c>
      <c r="AS24" s="56">
        <v>0.19</v>
      </c>
      <c r="AT24" s="56">
        <v>0.18</v>
      </c>
      <c r="AU24" s="56">
        <v>0.24</v>
      </c>
      <c r="AV24" s="56">
        <v>0.31</v>
      </c>
      <c r="AW24" s="55">
        <v>0.22</v>
      </c>
      <c r="AX24" s="53">
        <v>0.09</v>
      </c>
      <c r="AY24" s="53">
        <v>3.5000000000000003E-2</v>
      </c>
      <c r="AZ24" s="53"/>
      <c r="BA24" s="53"/>
      <c r="BB24" s="52">
        <v>1.8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59" priority="6" stopIfTrue="1" operator="notBetween">
      <formula>0.8</formula>
      <formula>1.2</formula>
    </cfRule>
  </conditionalFormatting>
  <conditionalFormatting sqref="BC7:BD20">
    <cfRule type="cellIs" dxfId="58" priority="5" stopIfTrue="1" operator="notBetween">
      <formula>0.9</formula>
      <formula>1.1</formula>
    </cfRule>
  </conditionalFormatting>
  <conditionalFormatting sqref="BP7:BP20">
    <cfRule type="cellIs" dxfId="57" priority="3" stopIfTrue="1" operator="notBetween">
      <formula>0.8</formula>
      <formula>1.2</formula>
    </cfRule>
  </conditionalFormatting>
  <conditionalFormatting sqref="CF7:CF20">
    <cfRule type="cellIs" dxfId="56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499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382" t="s">
        <v>61</v>
      </c>
      <c r="C7" s="383" t="s">
        <v>628</v>
      </c>
      <c r="D7" s="384">
        <v>4.8749999999988027</v>
      </c>
      <c r="E7" s="385">
        <v>4.4999999999999998E-2</v>
      </c>
      <c r="F7" s="386">
        <v>0.09</v>
      </c>
      <c r="G7" s="387">
        <v>1.6</v>
      </c>
      <c r="H7" s="388">
        <v>0.16</v>
      </c>
      <c r="I7" s="387">
        <v>0.39</v>
      </c>
      <c r="J7" s="387">
        <v>4.7000000000000002E-3</v>
      </c>
      <c r="K7" s="387" t="s">
        <v>500</v>
      </c>
      <c r="L7" s="383">
        <v>1.9E-2</v>
      </c>
      <c r="M7" s="385">
        <v>170</v>
      </c>
      <c r="N7" s="387">
        <v>66</v>
      </c>
      <c r="O7" s="387">
        <v>74</v>
      </c>
      <c r="P7" s="387">
        <v>18</v>
      </c>
      <c r="Q7" s="387">
        <v>35</v>
      </c>
      <c r="R7" s="387" t="s">
        <v>434</v>
      </c>
      <c r="S7" s="387">
        <v>6.6</v>
      </c>
      <c r="T7" s="389">
        <v>4</v>
      </c>
      <c r="U7" s="387" t="s">
        <v>501</v>
      </c>
      <c r="V7" s="389">
        <v>2</v>
      </c>
      <c r="W7" s="387">
        <v>92</v>
      </c>
      <c r="X7" s="387" t="s">
        <v>486</v>
      </c>
      <c r="Y7" s="387">
        <v>1.1000000000000001</v>
      </c>
      <c r="Z7" s="387" t="s">
        <v>502</v>
      </c>
      <c r="AA7" s="387">
        <v>5.0999999999999996</v>
      </c>
      <c r="AB7" s="387" t="s">
        <v>251</v>
      </c>
      <c r="AC7" s="387">
        <v>0.24</v>
      </c>
      <c r="AD7" s="387">
        <v>6.4000000000000001E-2</v>
      </c>
      <c r="AE7" s="387">
        <v>0.56999999999999995</v>
      </c>
      <c r="AF7" s="387">
        <v>0.44</v>
      </c>
      <c r="AG7" s="387" t="s">
        <v>486</v>
      </c>
      <c r="AH7" s="387">
        <v>0.53</v>
      </c>
      <c r="AI7" s="387">
        <v>0.26</v>
      </c>
      <c r="AJ7" s="387" t="s">
        <v>503</v>
      </c>
      <c r="AK7" s="387" t="s">
        <v>486</v>
      </c>
      <c r="AL7" s="209" t="s">
        <v>246</v>
      </c>
      <c r="AM7" s="209" t="s">
        <v>69</v>
      </c>
      <c r="AN7" s="209" t="s">
        <v>220</v>
      </c>
      <c r="AO7" s="209" t="s">
        <v>241</v>
      </c>
      <c r="AP7" s="387">
        <v>0.47</v>
      </c>
      <c r="AQ7" s="26"/>
      <c r="AR7" s="28" t="s">
        <v>431</v>
      </c>
      <c r="AS7" s="30">
        <v>1</v>
      </c>
      <c r="AT7" s="30">
        <v>0.27</v>
      </c>
      <c r="AU7" s="30">
        <v>0.1</v>
      </c>
      <c r="AV7" s="30">
        <v>0.17</v>
      </c>
      <c r="AW7" s="29">
        <v>0.25</v>
      </c>
      <c r="AX7" s="27">
        <v>0.28999999999999998</v>
      </c>
      <c r="AY7" s="27" t="s">
        <v>292</v>
      </c>
      <c r="AZ7" s="27">
        <v>1.5</v>
      </c>
      <c r="BA7" s="652">
        <v>0.37</v>
      </c>
      <c r="BB7" s="653">
        <v>1.1000000000000001</v>
      </c>
      <c r="BC7" s="619">
        <f>SUM(AR7:AV7)/AZ7</f>
        <v>1.0266666666666666</v>
      </c>
      <c r="BD7" s="610">
        <f>(SUM(AW7:AY7)-AV7)/BA7</f>
        <v>1</v>
      </c>
      <c r="BF7" s="610">
        <f>E7/35.5</f>
        <v>1.2676056338028169E-3</v>
      </c>
      <c r="BG7" s="610">
        <f>F7/62</f>
        <v>1.4516129032258063E-3</v>
      </c>
      <c r="BH7" s="610">
        <f>G7/(96/2)</f>
        <v>3.3333333333333333E-2</v>
      </c>
      <c r="BI7" s="610">
        <f>H7/23</f>
        <v>6.956521739130435E-3</v>
      </c>
      <c r="BJ7" s="610">
        <f>I7/18</f>
        <v>2.1666666666666667E-2</v>
      </c>
      <c r="BK7" s="610">
        <f>J7/39</f>
        <v>1.2051282051282052E-4</v>
      </c>
      <c r="BL7" s="610" t="e">
        <f>K7/(24.3/2)</f>
        <v>#VALUE!</v>
      </c>
      <c r="BM7" s="610">
        <f>L7/(40/2)</f>
        <v>9.5E-4</v>
      </c>
      <c r="BN7" s="563">
        <f>SUM(BF7:BH7)*1000</f>
        <v>36.05255187036196</v>
      </c>
      <c r="BO7" s="563" t="e">
        <f>SUM(BI7:BM7)*1000</f>
        <v>#VALUE!</v>
      </c>
      <c r="BP7" s="611" t="e">
        <f>BN7/BO7</f>
        <v>#VALUE!</v>
      </c>
      <c r="BR7" s="564">
        <f>1.375*G7</f>
        <v>2.2000000000000002</v>
      </c>
      <c r="BS7" s="564">
        <f>1.29*F7</f>
        <v>0.11609999999999999</v>
      </c>
      <c r="BT7" s="564">
        <f>2.5*H7</f>
        <v>0.4</v>
      </c>
      <c r="BU7" s="564">
        <f>1.6*AZ7</f>
        <v>2.4000000000000004</v>
      </c>
      <c r="BV7" s="564">
        <f>BA7</f>
        <v>0.37</v>
      </c>
      <c r="BW7" s="564">
        <f>9.19/1000*N7</f>
        <v>0.60653999999999997</v>
      </c>
      <c r="BX7" s="564">
        <f t="shared" ref="BX7:BX20" si="0">Q7/1000*1.4</f>
        <v>4.9000000000000002E-2</v>
      </c>
      <c r="BY7" s="564">
        <f>W7/1000*1.38</f>
        <v>0.12695999999999999</v>
      </c>
      <c r="BZ7" s="564">
        <f>S7/1000*1.67</f>
        <v>1.1021999999999999E-2</v>
      </c>
      <c r="CA7" s="564">
        <f>SUM(BR7:BZ7)</f>
        <v>6.2796220000000007</v>
      </c>
      <c r="CB7" s="611">
        <f>CA7/D7</f>
        <v>1.2881275897439062</v>
      </c>
      <c r="CD7" s="610">
        <f>AZ7/(AZ7+BA7)</f>
        <v>0.80213903743315507</v>
      </c>
      <c r="CE7" s="610">
        <f>BB7/AZ7</f>
        <v>0.73333333333333339</v>
      </c>
      <c r="CF7" s="610">
        <f t="shared" ref="CF7:CF12" si="1">IF(AW7-AV7&gt;0,AW7-AV7,0)</f>
        <v>7.9999999999999988E-2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90" t="s">
        <v>61</v>
      </c>
      <c r="C8" s="391" t="s">
        <v>629</v>
      </c>
      <c r="D8" s="218" t="s">
        <v>290</v>
      </c>
      <c r="E8" s="392" t="s">
        <v>290</v>
      </c>
      <c r="F8" s="393" t="s">
        <v>290</v>
      </c>
      <c r="G8" s="393" t="s">
        <v>290</v>
      </c>
      <c r="H8" s="394" t="s">
        <v>290</v>
      </c>
      <c r="I8" s="393" t="s">
        <v>290</v>
      </c>
      <c r="J8" s="393" t="s">
        <v>290</v>
      </c>
      <c r="K8" s="393" t="s">
        <v>290</v>
      </c>
      <c r="L8" s="391" t="s">
        <v>290</v>
      </c>
      <c r="M8" s="392" t="s">
        <v>290</v>
      </c>
      <c r="N8" s="393" t="s">
        <v>290</v>
      </c>
      <c r="O8" s="393" t="s">
        <v>290</v>
      </c>
      <c r="P8" s="393" t="s">
        <v>290</v>
      </c>
      <c r="Q8" s="393" t="s">
        <v>290</v>
      </c>
      <c r="R8" s="393" t="s">
        <v>290</v>
      </c>
      <c r="S8" s="393" t="s">
        <v>290</v>
      </c>
      <c r="T8" s="393" t="s">
        <v>290</v>
      </c>
      <c r="U8" s="393" t="s">
        <v>290</v>
      </c>
      <c r="V8" s="393" t="s">
        <v>290</v>
      </c>
      <c r="W8" s="393" t="s">
        <v>290</v>
      </c>
      <c r="X8" s="393" t="s">
        <v>290</v>
      </c>
      <c r="Y8" s="393" t="s">
        <v>290</v>
      </c>
      <c r="Z8" s="393" t="s">
        <v>290</v>
      </c>
      <c r="AA8" s="393" t="s">
        <v>290</v>
      </c>
      <c r="AB8" s="393" t="s">
        <v>290</v>
      </c>
      <c r="AC8" s="393" t="s">
        <v>290</v>
      </c>
      <c r="AD8" s="393" t="s">
        <v>290</v>
      </c>
      <c r="AE8" s="393" t="s">
        <v>290</v>
      </c>
      <c r="AF8" s="393" t="s">
        <v>290</v>
      </c>
      <c r="AG8" s="393" t="s">
        <v>290</v>
      </c>
      <c r="AH8" s="393" t="s">
        <v>290</v>
      </c>
      <c r="AI8" s="393" t="s">
        <v>290</v>
      </c>
      <c r="AJ8" s="393" t="s">
        <v>290</v>
      </c>
      <c r="AK8" s="393" t="s">
        <v>290</v>
      </c>
      <c r="AL8" s="219" t="s">
        <v>290</v>
      </c>
      <c r="AM8" s="219" t="s">
        <v>290</v>
      </c>
      <c r="AN8" s="219" t="s">
        <v>290</v>
      </c>
      <c r="AO8" s="219" t="s">
        <v>290</v>
      </c>
      <c r="AP8" s="393" t="s">
        <v>290</v>
      </c>
      <c r="AQ8" s="32"/>
      <c r="AR8" s="34" t="s">
        <v>290</v>
      </c>
      <c r="AS8" s="36" t="s">
        <v>290</v>
      </c>
      <c r="AT8" s="36" t="s">
        <v>290</v>
      </c>
      <c r="AU8" s="36" t="s">
        <v>290</v>
      </c>
      <c r="AV8" s="36" t="s">
        <v>290</v>
      </c>
      <c r="AW8" s="35" t="s">
        <v>290</v>
      </c>
      <c r="AX8" s="33" t="s">
        <v>290</v>
      </c>
      <c r="AY8" s="33" t="s">
        <v>290</v>
      </c>
      <c r="AZ8" s="33" t="s">
        <v>290</v>
      </c>
      <c r="BA8" s="654" t="s">
        <v>290</v>
      </c>
      <c r="BB8" s="655" t="s">
        <v>290</v>
      </c>
      <c r="BC8" s="619"/>
      <c r="BD8" s="610"/>
      <c r="BF8" s="610"/>
      <c r="BG8" s="610"/>
      <c r="BH8" s="610"/>
      <c r="BI8" s="610"/>
      <c r="BJ8" s="610"/>
      <c r="BK8" s="610"/>
      <c r="BL8" s="610"/>
      <c r="BM8" s="610"/>
      <c r="BN8" s="563"/>
      <c r="BO8" s="563"/>
      <c r="BP8" s="611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611"/>
      <c r="CD8" s="610" t="e">
        <f t="shared" ref="CD8:CD20" si="3">AZ8/(AZ8+BA8)</f>
        <v>#VALUE!</v>
      </c>
      <c r="CE8" s="610" t="e">
        <f t="shared" ref="CE8:CE20" si="4">BB8/AZ8</f>
        <v>#VALUE!</v>
      </c>
      <c r="CF8" s="610" t="e">
        <f t="shared" si="1"/>
        <v>#VALUE!</v>
      </c>
      <c r="CG8" s="610" t="e">
        <f t="shared" si="2"/>
        <v>#VALUE!</v>
      </c>
    </row>
    <row r="9" spans="2:85" ht="20.149999999999999" customHeight="1" x14ac:dyDescent="0.2">
      <c r="B9" s="390" t="s">
        <v>61</v>
      </c>
      <c r="C9" s="395" t="s">
        <v>630</v>
      </c>
      <c r="D9" s="218">
        <v>23.666666666666377</v>
      </c>
      <c r="E9" s="392" t="s">
        <v>504</v>
      </c>
      <c r="F9" s="393">
        <v>1.1000000000000001</v>
      </c>
      <c r="G9" s="393">
        <v>5</v>
      </c>
      <c r="H9" s="394">
        <v>6.5000000000000002E-2</v>
      </c>
      <c r="I9" s="396">
        <v>2</v>
      </c>
      <c r="J9" s="393">
        <v>0.16</v>
      </c>
      <c r="K9" s="393" t="s">
        <v>500</v>
      </c>
      <c r="L9" s="391" t="s">
        <v>298</v>
      </c>
      <c r="M9" s="392">
        <v>85</v>
      </c>
      <c r="N9" s="393">
        <v>4.8</v>
      </c>
      <c r="O9" s="393">
        <v>11</v>
      </c>
      <c r="P9" s="393">
        <v>130</v>
      </c>
      <c r="Q9" s="393" t="s">
        <v>325</v>
      </c>
      <c r="R9" s="393" t="s">
        <v>434</v>
      </c>
      <c r="S9" s="393">
        <v>3.7</v>
      </c>
      <c r="T9" s="393">
        <v>11</v>
      </c>
      <c r="U9" s="393">
        <v>3.7</v>
      </c>
      <c r="V9" s="393">
        <v>8.1999999999999993</v>
      </c>
      <c r="W9" s="393">
        <v>170</v>
      </c>
      <c r="X9" s="393" t="s">
        <v>486</v>
      </c>
      <c r="Y9" s="393">
        <v>3.5</v>
      </c>
      <c r="Z9" s="393">
        <v>3.1</v>
      </c>
      <c r="AA9" s="393">
        <v>23</v>
      </c>
      <c r="AB9" s="396">
        <v>1</v>
      </c>
      <c r="AC9" s="393">
        <v>1.5</v>
      </c>
      <c r="AD9" s="393">
        <v>0.31</v>
      </c>
      <c r="AE9" s="393">
        <v>3.9</v>
      </c>
      <c r="AF9" s="393">
        <v>4.4000000000000004</v>
      </c>
      <c r="AG9" s="393" t="s">
        <v>486</v>
      </c>
      <c r="AH9" s="393">
        <v>2.2000000000000002</v>
      </c>
      <c r="AI9" s="393">
        <v>0.17</v>
      </c>
      <c r="AJ9" s="393" t="s">
        <v>503</v>
      </c>
      <c r="AK9" s="393" t="s">
        <v>486</v>
      </c>
      <c r="AL9" s="219" t="s">
        <v>246</v>
      </c>
      <c r="AM9" s="219" t="s">
        <v>69</v>
      </c>
      <c r="AN9" s="219" t="s">
        <v>220</v>
      </c>
      <c r="AO9" s="219" t="s">
        <v>241</v>
      </c>
      <c r="AP9" s="393">
        <v>6.8</v>
      </c>
      <c r="AQ9" s="32"/>
      <c r="AR9" s="34" t="s">
        <v>431</v>
      </c>
      <c r="AS9" s="36">
        <v>1.9</v>
      </c>
      <c r="AT9" s="36">
        <v>0.92</v>
      </c>
      <c r="AU9" s="36">
        <v>0.51</v>
      </c>
      <c r="AV9" s="36">
        <v>2.1</v>
      </c>
      <c r="AW9" s="35">
        <v>4.0999999999999996</v>
      </c>
      <c r="AX9" s="33">
        <v>0.73</v>
      </c>
      <c r="AY9" s="33" t="s">
        <v>292</v>
      </c>
      <c r="AZ9" s="33">
        <v>5.4</v>
      </c>
      <c r="BA9" s="654">
        <v>2.7</v>
      </c>
      <c r="BB9" s="656">
        <v>3.2</v>
      </c>
      <c r="BC9" s="619">
        <f t="shared" ref="BC9:BC20" si="5">SUM(AR9:AV9)/AZ9</f>
        <v>1.0055555555555555</v>
      </c>
      <c r="BD9" s="610">
        <f t="shared" ref="BD9:BD20" si="6">(SUM(AW9:AY9)-AV9)/BA9</f>
        <v>1.0111111111111111</v>
      </c>
      <c r="BF9" s="610" t="e">
        <f t="shared" ref="BF9:BF20" si="7">E9/35.5</f>
        <v>#VALUE!</v>
      </c>
      <c r="BG9" s="610">
        <f t="shared" ref="BG9:BG20" si="8">F9/62</f>
        <v>1.7741935483870968E-2</v>
      </c>
      <c r="BH9" s="610">
        <f t="shared" ref="BH9:BH20" si="9">G9/(96/2)</f>
        <v>0.10416666666666667</v>
      </c>
      <c r="BI9" s="610">
        <f t="shared" ref="BI9:BI20" si="10">H9/23</f>
        <v>2.8260869565217392E-3</v>
      </c>
      <c r="BJ9" s="610">
        <f t="shared" ref="BJ9:BJ20" si="11">I9/18</f>
        <v>0.1111111111111111</v>
      </c>
      <c r="BK9" s="610">
        <f t="shared" ref="BK9:BK20" si="12">J9/39</f>
        <v>4.1025641025641026E-3</v>
      </c>
      <c r="BL9" s="610" t="e">
        <f t="shared" ref="BL9:BL20" si="13">K9/(24.3/2)</f>
        <v>#VALUE!</v>
      </c>
      <c r="BM9" s="610" t="e">
        <f t="shared" ref="BM9:BM20" si="14">L9/(40/2)</f>
        <v>#VALUE!</v>
      </c>
      <c r="BN9" s="563" t="e">
        <f t="shared" ref="BN9:BN20" si="15">SUM(BF9:BH9)*1000</f>
        <v>#VALUE!</v>
      </c>
      <c r="BO9" s="563" t="e">
        <f t="shared" ref="BO9:BO20" si="16">SUM(BI9:BM9)*1000</f>
        <v>#VALUE!</v>
      </c>
      <c r="BP9" s="611" t="e">
        <f t="shared" ref="BP9:BP20" si="17">BN9/BO9</f>
        <v>#VALUE!</v>
      </c>
      <c r="BR9" s="564">
        <f t="shared" ref="BR9:BR20" si="18">1.375*G9</f>
        <v>6.875</v>
      </c>
      <c r="BS9" s="564">
        <f t="shared" ref="BS9:BS20" si="19">1.29*F9</f>
        <v>1.4190000000000003</v>
      </c>
      <c r="BT9" s="564">
        <f t="shared" ref="BT9:BT20" si="20">2.5*H9</f>
        <v>0.16250000000000001</v>
      </c>
      <c r="BU9" s="564">
        <f t="shared" ref="BU9:BU20" si="21">1.6*AZ9</f>
        <v>8.64</v>
      </c>
      <c r="BV9" s="564">
        <f t="shared" ref="BV9:BV20" si="22">BA9</f>
        <v>2.7</v>
      </c>
      <c r="BW9" s="564">
        <f t="shared" ref="BW9:BW20" si="23">9.19/1000*N9</f>
        <v>4.4111999999999998E-2</v>
      </c>
      <c r="BX9" s="564" t="e">
        <f t="shared" si="0"/>
        <v>#VALUE!</v>
      </c>
      <c r="BY9" s="564">
        <f t="shared" ref="BY9:BY20" si="24">W9/1000*1.38</f>
        <v>0.2346</v>
      </c>
      <c r="BZ9" s="564">
        <f t="shared" ref="BZ9:BZ20" si="25">S9/1000*1.67</f>
        <v>6.1789999999999996E-3</v>
      </c>
      <c r="CA9" s="564" t="e">
        <f t="shared" ref="CA9:CA20" si="26">SUM(BR9:BZ9)</f>
        <v>#VALUE!</v>
      </c>
      <c r="CB9" s="611" t="e">
        <f t="shared" ref="CB9:CB20" si="27">CA9/D9</f>
        <v>#VALUE!</v>
      </c>
      <c r="CD9" s="610">
        <f t="shared" si="3"/>
        <v>0.66666666666666663</v>
      </c>
      <c r="CE9" s="610">
        <f t="shared" si="4"/>
        <v>0.59259259259259256</v>
      </c>
      <c r="CF9" s="610">
        <f t="shared" si="1"/>
        <v>1.9999999999999996</v>
      </c>
      <c r="CG9" s="610" t="e">
        <f t="shared" si="2"/>
        <v>#VALUE!</v>
      </c>
    </row>
    <row r="10" spans="2:85" ht="20.149999999999999" customHeight="1" x14ac:dyDescent="0.2">
      <c r="B10" s="390" t="s">
        <v>61</v>
      </c>
      <c r="C10" s="391" t="s">
        <v>631</v>
      </c>
      <c r="D10" s="218">
        <v>25.562499999999879</v>
      </c>
      <c r="E10" s="392">
        <v>9.8000000000000004E-2</v>
      </c>
      <c r="F10" s="393">
        <v>0.54</v>
      </c>
      <c r="G10" s="393">
        <v>6.9</v>
      </c>
      <c r="H10" s="394">
        <v>0.31</v>
      </c>
      <c r="I10" s="393">
        <v>2.8</v>
      </c>
      <c r="J10" s="393">
        <v>0.16</v>
      </c>
      <c r="K10" s="393">
        <v>6.7000000000000004E-2</v>
      </c>
      <c r="L10" s="391">
        <v>8.5999999999999993E-2</v>
      </c>
      <c r="M10" s="392">
        <v>180</v>
      </c>
      <c r="N10" s="393">
        <v>17</v>
      </c>
      <c r="O10" s="393">
        <v>68</v>
      </c>
      <c r="P10" s="393">
        <v>150</v>
      </c>
      <c r="Q10" s="393">
        <v>11</v>
      </c>
      <c r="R10" s="393" t="s">
        <v>434</v>
      </c>
      <c r="S10" s="393">
        <v>3.7</v>
      </c>
      <c r="T10" s="393">
        <v>12</v>
      </c>
      <c r="U10" s="393">
        <v>11</v>
      </c>
      <c r="V10" s="393">
        <v>8.1</v>
      </c>
      <c r="W10" s="393">
        <v>320</v>
      </c>
      <c r="X10" s="393" t="s">
        <v>486</v>
      </c>
      <c r="Y10" s="393">
        <v>4.5999999999999996</v>
      </c>
      <c r="Z10" s="393">
        <v>3.7</v>
      </c>
      <c r="AA10" s="393">
        <v>26</v>
      </c>
      <c r="AB10" s="393">
        <v>0.83</v>
      </c>
      <c r="AC10" s="393">
        <v>2.5</v>
      </c>
      <c r="AD10" s="393">
        <v>0.52</v>
      </c>
      <c r="AE10" s="393">
        <v>3.9</v>
      </c>
      <c r="AF10" s="393">
        <v>2</v>
      </c>
      <c r="AG10" s="393" t="s">
        <v>486</v>
      </c>
      <c r="AH10" s="393">
        <v>5.2</v>
      </c>
      <c r="AI10" s="393">
        <v>0.32</v>
      </c>
      <c r="AJ10" s="393" t="s">
        <v>503</v>
      </c>
      <c r="AK10" s="393" t="s">
        <v>486</v>
      </c>
      <c r="AL10" s="219" t="s">
        <v>246</v>
      </c>
      <c r="AM10" s="219" t="s">
        <v>69</v>
      </c>
      <c r="AN10" s="219" t="s">
        <v>220</v>
      </c>
      <c r="AO10" s="219" t="s">
        <v>241</v>
      </c>
      <c r="AP10" s="393">
        <v>7.5</v>
      </c>
      <c r="AQ10" s="32"/>
      <c r="AR10" s="34" t="s">
        <v>431</v>
      </c>
      <c r="AS10" s="36">
        <v>2.2000000000000002</v>
      </c>
      <c r="AT10" s="36">
        <v>1</v>
      </c>
      <c r="AU10" s="36">
        <v>0.51</v>
      </c>
      <c r="AV10" s="36">
        <v>2.7</v>
      </c>
      <c r="AW10" s="35">
        <v>3.8</v>
      </c>
      <c r="AX10" s="33">
        <v>0.6</v>
      </c>
      <c r="AY10" s="33">
        <v>3.4000000000000002E-2</v>
      </c>
      <c r="AZ10" s="33">
        <v>6.4</v>
      </c>
      <c r="BA10" s="654">
        <v>1.7</v>
      </c>
      <c r="BB10" s="655">
        <v>3.8</v>
      </c>
      <c r="BC10" s="619">
        <f t="shared" si="5"/>
        <v>1.0015624999999999</v>
      </c>
      <c r="BD10" s="610">
        <f t="shared" si="6"/>
        <v>1.0199999999999996</v>
      </c>
      <c r="BF10" s="610">
        <f t="shared" si="7"/>
        <v>2.7605633802816904E-3</v>
      </c>
      <c r="BG10" s="610">
        <f t="shared" si="8"/>
        <v>8.7096774193548398E-3</v>
      </c>
      <c r="BH10" s="610">
        <f t="shared" si="9"/>
        <v>0.14375000000000002</v>
      </c>
      <c r="BI10" s="610">
        <f t="shared" si="10"/>
        <v>1.3478260869565217E-2</v>
      </c>
      <c r="BJ10" s="610">
        <f t="shared" si="11"/>
        <v>0.15555555555555556</v>
      </c>
      <c r="BK10" s="610">
        <f t="shared" si="12"/>
        <v>4.1025641025641026E-3</v>
      </c>
      <c r="BL10" s="610">
        <f t="shared" si="13"/>
        <v>5.5144032921810703E-3</v>
      </c>
      <c r="BM10" s="610">
        <f t="shared" si="14"/>
        <v>4.3E-3</v>
      </c>
      <c r="BN10" s="563">
        <f t="shared" si="15"/>
        <v>155.22024079963654</v>
      </c>
      <c r="BO10" s="563">
        <f t="shared" si="16"/>
        <v>182.95078381986593</v>
      </c>
      <c r="BP10" s="611">
        <f t="shared" si="17"/>
        <v>0.84842621364479642</v>
      </c>
      <c r="BR10" s="564">
        <f t="shared" si="18"/>
        <v>9.4875000000000007</v>
      </c>
      <c r="BS10" s="564">
        <f t="shared" si="19"/>
        <v>0.69660000000000011</v>
      </c>
      <c r="BT10" s="564">
        <f t="shared" si="20"/>
        <v>0.77500000000000002</v>
      </c>
      <c r="BU10" s="564">
        <f t="shared" si="21"/>
        <v>10.240000000000002</v>
      </c>
      <c r="BV10" s="564">
        <f t="shared" si="22"/>
        <v>1.7</v>
      </c>
      <c r="BW10" s="564">
        <f t="shared" si="23"/>
        <v>0.15623000000000001</v>
      </c>
      <c r="BX10" s="564">
        <f t="shared" si="0"/>
        <v>1.5399999999999999E-2</v>
      </c>
      <c r="BY10" s="564">
        <f t="shared" si="24"/>
        <v>0.44159999999999999</v>
      </c>
      <c r="BZ10" s="564">
        <f t="shared" si="25"/>
        <v>6.1789999999999996E-3</v>
      </c>
      <c r="CA10" s="564">
        <f t="shared" si="26"/>
        <v>23.518509000000002</v>
      </c>
      <c r="CB10" s="611">
        <f t="shared" si="27"/>
        <v>0.92003947188264501</v>
      </c>
      <c r="CD10" s="610">
        <f t="shared" si="3"/>
        <v>0.79012345679012352</v>
      </c>
      <c r="CE10" s="610">
        <f t="shared" si="4"/>
        <v>0.59374999999999989</v>
      </c>
      <c r="CF10" s="610">
        <f t="shared" si="1"/>
        <v>1.0999999999999996</v>
      </c>
      <c r="CG10" s="610">
        <f t="shared" si="2"/>
        <v>0.63400000000000001</v>
      </c>
    </row>
    <row r="11" spans="2:85" ht="20.149999999999999" customHeight="1" thickBot="1" x14ac:dyDescent="0.25">
      <c r="B11" s="397" t="s">
        <v>61</v>
      </c>
      <c r="C11" s="398" t="s">
        <v>632</v>
      </c>
      <c r="D11" s="399">
        <v>21.166666666666281</v>
      </c>
      <c r="E11" s="400" t="s">
        <v>504</v>
      </c>
      <c r="F11" s="401">
        <v>0.41</v>
      </c>
      <c r="G11" s="401">
        <v>7.2</v>
      </c>
      <c r="H11" s="402">
        <v>0.12</v>
      </c>
      <c r="I11" s="401">
        <v>3.2</v>
      </c>
      <c r="J11" s="401">
        <v>6.0999999999999999E-2</v>
      </c>
      <c r="K11" s="401">
        <v>3.9E-2</v>
      </c>
      <c r="L11" s="403">
        <v>4.1000000000000002E-2</v>
      </c>
      <c r="M11" s="400">
        <v>100</v>
      </c>
      <c r="N11" s="404">
        <v>7</v>
      </c>
      <c r="O11" s="401">
        <v>14</v>
      </c>
      <c r="P11" s="401">
        <v>82</v>
      </c>
      <c r="Q11" s="401" t="s">
        <v>325</v>
      </c>
      <c r="R11" s="401" t="s">
        <v>434</v>
      </c>
      <c r="S11" s="401">
        <v>2.7</v>
      </c>
      <c r="T11" s="401">
        <v>11</v>
      </c>
      <c r="U11" s="401" t="s">
        <v>501</v>
      </c>
      <c r="V11" s="401">
        <v>2.2000000000000002</v>
      </c>
      <c r="W11" s="401">
        <v>58</v>
      </c>
      <c r="X11" s="401" t="s">
        <v>486</v>
      </c>
      <c r="Y11" s="401">
        <v>3.6</v>
      </c>
      <c r="Z11" s="401">
        <v>1.7</v>
      </c>
      <c r="AA11" s="401">
        <v>11</v>
      </c>
      <c r="AB11" s="401">
        <v>0.47</v>
      </c>
      <c r="AC11" s="401">
        <v>1.1000000000000001</v>
      </c>
      <c r="AD11" s="401">
        <v>0.13</v>
      </c>
      <c r="AE11" s="401">
        <v>0.89</v>
      </c>
      <c r="AF11" s="401">
        <v>2.2999999999999998</v>
      </c>
      <c r="AG11" s="401" t="s">
        <v>486</v>
      </c>
      <c r="AH11" s="401">
        <v>3.4</v>
      </c>
      <c r="AI11" s="401" t="s">
        <v>246</v>
      </c>
      <c r="AJ11" s="401" t="s">
        <v>503</v>
      </c>
      <c r="AK11" s="401" t="s">
        <v>486</v>
      </c>
      <c r="AL11" s="228" t="s">
        <v>246</v>
      </c>
      <c r="AM11" s="228" t="s">
        <v>69</v>
      </c>
      <c r="AN11" s="228" t="s">
        <v>220</v>
      </c>
      <c r="AO11" s="228" t="s">
        <v>241</v>
      </c>
      <c r="AP11" s="401">
        <v>2.6</v>
      </c>
      <c r="AQ11" s="45"/>
      <c r="AR11" s="42" t="s">
        <v>431</v>
      </c>
      <c r="AS11" s="44">
        <v>1.9</v>
      </c>
      <c r="AT11" s="44">
        <v>0.76</v>
      </c>
      <c r="AU11" s="44">
        <v>0.34</v>
      </c>
      <c r="AV11" s="44">
        <v>3.1</v>
      </c>
      <c r="AW11" s="43">
        <v>2.8</v>
      </c>
      <c r="AX11" s="41">
        <v>0.56000000000000005</v>
      </c>
      <c r="AY11" s="41" t="s">
        <v>292</v>
      </c>
      <c r="AZ11" s="41">
        <v>6.1</v>
      </c>
      <c r="BA11" s="657">
        <v>0.26</v>
      </c>
      <c r="BB11" s="658">
        <v>3.5</v>
      </c>
      <c r="BC11" s="620">
        <f t="shared" si="5"/>
        <v>1</v>
      </c>
      <c r="BD11" s="617">
        <f t="shared" si="6"/>
        <v>0.99999999999999911</v>
      </c>
      <c r="BE11" s="616"/>
      <c r="BF11" s="617" t="e">
        <f t="shared" si="7"/>
        <v>#VALUE!</v>
      </c>
      <c r="BG11" s="617">
        <f t="shared" si="8"/>
        <v>6.6129032258064515E-3</v>
      </c>
      <c r="BH11" s="617">
        <f t="shared" si="9"/>
        <v>0.15</v>
      </c>
      <c r="BI11" s="617">
        <f t="shared" si="10"/>
        <v>5.2173913043478256E-3</v>
      </c>
      <c r="BJ11" s="617">
        <f t="shared" si="11"/>
        <v>0.17777777777777778</v>
      </c>
      <c r="BK11" s="617">
        <f t="shared" si="12"/>
        <v>1.5641025641025641E-3</v>
      </c>
      <c r="BL11" s="617">
        <f t="shared" si="13"/>
        <v>3.2098765432098763E-3</v>
      </c>
      <c r="BM11" s="617">
        <f t="shared" si="14"/>
        <v>2.0500000000000002E-3</v>
      </c>
      <c r="BN11" s="621" t="e">
        <f t="shared" si="15"/>
        <v>#VALUE!</v>
      </c>
      <c r="BO11" s="621">
        <f t="shared" si="16"/>
        <v>189.81914818943801</v>
      </c>
      <c r="BP11" s="618" t="e">
        <f t="shared" si="17"/>
        <v>#VALUE!</v>
      </c>
      <c r="BQ11" s="616"/>
      <c r="BR11" s="615">
        <f t="shared" si="18"/>
        <v>9.9</v>
      </c>
      <c r="BS11" s="615">
        <f t="shared" si="19"/>
        <v>0.52890000000000004</v>
      </c>
      <c r="BT11" s="615">
        <f t="shared" si="20"/>
        <v>0.3</v>
      </c>
      <c r="BU11" s="615">
        <f t="shared" si="21"/>
        <v>9.76</v>
      </c>
      <c r="BV11" s="615">
        <f t="shared" si="22"/>
        <v>0.26</v>
      </c>
      <c r="BW11" s="615">
        <f t="shared" si="23"/>
        <v>6.4329999999999998E-2</v>
      </c>
      <c r="BX11" s="615" t="e">
        <f t="shared" si="0"/>
        <v>#VALUE!</v>
      </c>
      <c r="BY11" s="615">
        <f t="shared" si="24"/>
        <v>8.004E-2</v>
      </c>
      <c r="BZ11" s="615">
        <f t="shared" si="25"/>
        <v>4.509E-3</v>
      </c>
      <c r="CA11" s="615" t="e">
        <f t="shared" si="26"/>
        <v>#VALUE!</v>
      </c>
      <c r="CB11" s="618" t="e">
        <f t="shared" si="27"/>
        <v>#VALUE!</v>
      </c>
      <c r="CC11" s="617"/>
      <c r="CD11" s="617">
        <f t="shared" si="3"/>
        <v>0.95911949685534592</v>
      </c>
      <c r="CE11" s="617">
        <f t="shared" si="4"/>
        <v>0.57377049180327877</v>
      </c>
      <c r="CF11" s="617">
        <f t="shared" si="1"/>
        <v>0</v>
      </c>
      <c r="CG11" s="617" t="e">
        <f t="shared" si="2"/>
        <v>#VALUE!</v>
      </c>
    </row>
    <row r="12" spans="2:85" ht="20.149999999999999" customHeight="1" x14ac:dyDescent="0.2">
      <c r="B12" s="390" t="s">
        <v>202</v>
      </c>
      <c r="C12" s="405" t="s">
        <v>633</v>
      </c>
      <c r="D12" s="406">
        <v>15.541666666666664</v>
      </c>
      <c r="E12" s="630">
        <f>0.5*0.043</f>
        <v>2.1499999999999998E-2</v>
      </c>
      <c r="F12" s="408">
        <v>0.12</v>
      </c>
      <c r="G12" s="408">
        <v>4.7</v>
      </c>
      <c r="H12" s="409">
        <v>0.28000000000000003</v>
      </c>
      <c r="I12" s="408">
        <v>1.7</v>
      </c>
      <c r="J12" s="408">
        <v>5.6000000000000001E-2</v>
      </c>
      <c r="K12" s="408">
        <v>4.3999999999999997E-2</v>
      </c>
      <c r="L12" s="395">
        <v>2.7E-2</v>
      </c>
      <c r="M12" s="407">
        <v>300</v>
      </c>
      <c r="N12" s="408">
        <v>17</v>
      </c>
      <c r="O12" s="408">
        <v>18</v>
      </c>
      <c r="P12" s="408">
        <v>96</v>
      </c>
      <c r="Q12" s="625">
        <f>0.5*10</f>
        <v>5</v>
      </c>
      <c r="R12" s="625">
        <f t="shared" ref="R12:R18" si="28">0.5*0.4</f>
        <v>0.2</v>
      </c>
      <c r="S12" s="408">
        <v>2.7</v>
      </c>
      <c r="T12" s="408">
        <v>7.4</v>
      </c>
      <c r="U12" s="408">
        <v>2.2000000000000002</v>
      </c>
      <c r="V12" s="408">
        <v>4.2</v>
      </c>
      <c r="W12" s="408">
        <v>120</v>
      </c>
      <c r="X12" s="625">
        <f t="shared" ref="X12:X18" si="29">0.5*0.26</f>
        <v>0.13</v>
      </c>
      <c r="Y12" s="408">
        <v>2.5</v>
      </c>
      <c r="Z12" s="408">
        <v>1.7</v>
      </c>
      <c r="AA12" s="408">
        <v>14</v>
      </c>
      <c r="AB12" s="408">
        <v>0.52</v>
      </c>
      <c r="AC12" s="408">
        <v>1.2</v>
      </c>
      <c r="AD12" s="408">
        <v>0.28000000000000003</v>
      </c>
      <c r="AE12" s="410">
        <v>1</v>
      </c>
      <c r="AF12" s="408">
        <v>1.5</v>
      </c>
      <c r="AG12" s="625">
        <f>0.5*0.26</f>
        <v>0.13</v>
      </c>
      <c r="AH12" s="408">
        <v>2.6</v>
      </c>
      <c r="AI12" s="408">
        <v>0.21</v>
      </c>
      <c r="AJ12" s="625">
        <f t="shared" ref="AJ12:AJ18" si="30">0.5*0.21</f>
        <v>0.105</v>
      </c>
      <c r="AK12" s="625">
        <f t="shared" ref="AK12:AK18" si="31">0.5*0.26</f>
        <v>0.13</v>
      </c>
      <c r="AL12" s="627">
        <f t="shared" ref="AL12:AL18" si="32">0.5*0.13</f>
        <v>6.5000000000000002E-2</v>
      </c>
      <c r="AM12" s="627">
        <f t="shared" ref="AM12:AM18" si="33">0.5*1.4</f>
        <v>0.7</v>
      </c>
      <c r="AN12" s="627">
        <f t="shared" ref="AN12:AN18" si="34">0.5*0.15</f>
        <v>7.4999999999999997E-2</v>
      </c>
      <c r="AO12" s="627">
        <f t="shared" ref="AO12:AO18" si="35">0.5*0.33</f>
        <v>0.16500000000000001</v>
      </c>
      <c r="AP12" s="408">
        <v>4.5</v>
      </c>
      <c r="AQ12" s="37"/>
      <c r="AR12" s="630">
        <f t="shared" ref="AR12:AR18" si="36">0.5*0.039</f>
        <v>1.95E-2</v>
      </c>
      <c r="AS12" s="50">
        <v>1.8</v>
      </c>
      <c r="AT12" s="50">
        <v>0.73</v>
      </c>
      <c r="AU12" s="50">
        <v>0.33</v>
      </c>
      <c r="AV12" s="50">
        <v>1.4</v>
      </c>
      <c r="AW12" s="49">
        <v>2.2000000000000002</v>
      </c>
      <c r="AX12" s="47">
        <v>0.51</v>
      </c>
      <c r="AY12" s="627">
        <f t="shared" ref="AY12:AY18" si="37">0.5*0.023</f>
        <v>1.15E-2</v>
      </c>
      <c r="AZ12" s="47">
        <v>4.3</v>
      </c>
      <c r="BA12" s="659">
        <v>1.3</v>
      </c>
      <c r="BB12" s="660">
        <v>2.2000000000000002</v>
      </c>
      <c r="BC12" s="619">
        <f t="shared" si="5"/>
        <v>0.99523255813953504</v>
      </c>
      <c r="BD12" s="610">
        <f t="shared" si="6"/>
        <v>1.0165384615384614</v>
      </c>
      <c r="BF12" s="610">
        <f t="shared" si="7"/>
        <v>6.0563380281690134E-4</v>
      </c>
      <c r="BG12" s="610">
        <f t="shared" si="8"/>
        <v>1.9354838709677419E-3</v>
      </c>
      <c r="BH12" s="610">
        <f t="shared" si="9"/>
        <v>9.7916666666666666E-2</v>
      </c>
      <c r="BI12" s="610">
        <f t="shared" si="10"/>
        <v>1.2173913043478262E-2</v>
      </c>
      <c r="BJ12" s="610">
        <f t="shared" si="11"/>
        <v>9.4444444444444442E-2</v>
      </c>
      <c r="BK12" s="610">
        <f t="shared" si="12"/>
        <v>1.435897435897436E-3</v>
      </c>
      <c r="BL12" s="610">
        <f t="shared" si="13"/>
        <v>3.6213991769547321E-3</v>
      </c>
      <c r="BM12" s="610">
        <f t="shared" si="14"/>
        <v>1.3500000000000001E-3</v>
      </c>
      <c r="BN12" s="563">
        <f t="shared" si="15"/>
        <v>100.45778434045131</v>
      </c>
      <c r="BO12" s="563">
        <f t="shared" si="16"/>
        <v>113.02565410077486</v>
      </c>
      <c r="BP12" s="611">
        <f t="shared" si="17"/>
        <v>0.88880515790585113</v>
      </c>
      <c r="BR12" s="564">
        <f t="shared" si="18"/>
        <v>6.4625000000000004</v>
      </c>
      <c r="BS12" s="564">
        <f t="shared" si="19"/>
        <v>0.15479999999999999</v>
      </c>
      <c r="BT12" s="564">
        <f t="shared" si="20"/>
        <v>0.70000000000000007</v>
      </c>
      <c r="BU12" s="564">
        <f t="shared" si="21"/>
        <v>6.88</v>
      </c>
      <c r="BV12" s="564">
        <f t="shared" si="22"/>
        <v>1.3</v>
      </c>
      <c r="BW12" s="564">
        <f t="shared" si="23"/>
        <v>0.15623000000000001</v>
      </c>
      <c r="BX12" s="564">
        <f t="shared" si="0"/>
        <v>6.9999999999999993E-3</v>
      </c>
      <c r="BY12" s="564">
        <f t="shared" si="24"/>
        <v>0.16559999999999997</v>
      </c>
      <c r="BZ12" s="564">
        <f t="shared" si="25"/>
        <v>4.509E-3</v>
      </c>
      <c r="CA12" s="564">
        <f t="shared" si="26"/>
        <v>15.830639000000001</v>
      </c>
      <c r="CB12" s="611">
        <f t="shared" si="27"/>
        <v>1.018593394101877</v>
      </c>
      <c r="CC12" s="610"/>
      <c r="CD12" s="610">
        <f t="shared" si="3"/>
        <v>0.7678571428571429</v>
      </c>
      <c r="CE12" s="610">
        <f t="shared" si="4"/>
        <v>0.51162790697674421</v>
      </c>
      <c r="CF12" s="610">
        <f t="shared" si="1"/>
        <v>0.80000000000000027</v>
      </c>
      <c r="CG12" s="610">
        <f t="shared" si="2"/>
        <v>0.52149999999999996</v>
      </c>
    </row>
    <row r="13" spans="2:85" ht="20.149999999999999" customHeight="1" x14ac:dyDescent="0.2">
      <c r="B13" s="390" t="s">
        <v>202</v>
      </c>
      <c r="C13" s="398" t="s">
        <v>634</v>
      </c>
      <c r="D13" s="218">
        <v>21.520833333332863</v>
      </c>
      <c r="E13" s="623">
        <f>0.5*0.043</f>
        <v>2.1499999999999998E-2</v>
      </c>
      <c r="F13" s="393">
        <v>0.15</v>
      </c>
      <c r="G13" s="393">
        <v>9</v>
      </c>
      <c r="H13" s="394">
        <v>0.3</v>
      </c>
      <c r="I13" s="393">
        <v>3.4</v>
      </c>
      <c r="J13" s="393">
        <v>3.9E-2</v>
      </c>
      <c r="K13" s="393">
        <v>2.9000000000000001E-2</v>
      </c>
      <c r="L13" s="391">
        <v>4.7E-2</v>
      </c>
      <c r="M13" s="392">
        <v>180</v>
      </c>
      <c r="N13" s="393">
        <v>13</v>
      </c>
      <c r="O13" s="393">
        <v>12</v>
      </c>
      <c r="P13" s="393">
        <v>74</v>
      </c>
      <c r="Q13" s="624">
        <f>0.5*10</f>
        <v>5</v>
      </c>
      <c r="R13" s="624">
        <f t="shared" si="28"/>
        <v>0.2</v>
      </c>
      <c r="S13" s="393">
        <v>2.2999999999999998</v>
      </c>
      <c r="T13" s="393">
        <v>7.6</v>
      </c>
      <c r="U13" s="624">
        <f>0.5*1.8</f>
        <v>0.9</v>
      </c>
      <c r="V13" s="393">
        <v>3</v>
      </c>
      <c r="W13" s="393">
        <v>74</v>
      </c>
      <c r="X13" s="624">
        <f t="shared" si="29"/>
        <v>0.13</v>
      </c>
      <c r="Y13" s="393">
        <v>2.6</v>
      </c>
      <c r="Z13" s="393">
        <v>2.2999999999999998</v>
      </c>
      <c r="AA13" s="393">
        <v>17</v>
      </c>
      <c r="AB13" s="393">
        <v>1.2</v>
      </c>
      <c r="AC13" s="393">
        <v>1.2</v>
      </c>
      <c r="AD13" s="393">
        <v>0.16</v>
      </c>
      <c r="AE13" s="393">
        <v>0.72</v>
      </c>
      <c r="AF13" s="393">
        <v>2.1</v>
      </c>
      <c r="AG13" s="624">
        <f>0.5*0.26</f>
        <v>0.13</v>
      </c>
      <c r="AH13" s="393">
        <v>2.2999999999999998</v>
      </c>
      <c r="AI13" s="624">
        <f>0.5*0.13</f>
        <v>6.5000000000000002E-2</v>
      </c>
      <c r="AJ13" s="624">
        <f t="shared" si="30"/>
        <v>0.105</v>
      </c>
      <c r="AK13" s="624">
        <f t="shared" si="31"/>
        <v>0.13</v>
      </c>
      <c r="AL13" s="628">
        <f t="shared" si="32"/>
        <v>6.5000000000000002E-2</v>
      </c>
      <c r="AM13" s="628">
        <f t="shared" si="33"/>
        <v>0.7</v>
      </c>
      <c r="AN13" s="628">
        <f t="shared" si="34"/>
        <v>7.4999999999999997E-2</v>
      </c>
      <c r="AO13" s="628">
        <f t="shared" si="35"/>
        <v>0.16500000000000001</v>
      </c>
      <c r="AP13" s="393">
        <v>5.2</v>
      </c>
      <c r="AQ13" s="32"/>
      <c r="AR13" s="623">
        <f t="shared" si="36"/>
        <v>1.95E-2</v>
      </c>
      <c r="AS13" s="36">
        <v>1.4</v>
      </c>
      <c r="AT13" s="36">
        <v>0.59</v>
      </c>
      <c r="AU13" s="36">
        <v>0.25</v>
      </c>
      <c r="AV13" s="36">
        <v>1.3</v>
      </c>
      <c r="AW13" s="35">
        <v>2.2999999999999998</v>
      </c>
      <c r="AX13" s="33">
        <v>0.49</v>
      </c>
      <c r="AY13" s="628">
        <f t="shared" si="37"/>
        <v>1.15E-2</v>
      </c>
      <c r="AZ13" s="33">
        <v>3.5</v>
      </c>
      <c r="BA13" s="654">
        <v>1.5</v>
      </c>
      <c r="BB13" s="655">
        <v>2.1</v>
      </c>
      <c r="BC13" s="619">
        <f t="shared" si="5"/>
        <v>1.0169999999999999</v>
      </c>
      <c r="BD13" s="610">
        <f t="shared" si="6"/>
        <v>1.0009999999999999</v>
      </c>
      <c r="BF13" s="610">
        <f t="shared" si="7"/>
        <v>6.0563380281690134E-4</v>
      </c>
      <c r="BG13" s="610">
        <f t="shared" si="8"/>
        <v>2.4193548387096775E-3</v>
      </c>
      <c r="BH13" s="610">
        <f t="shared" si="9"/>
        <v>0.1875</v>
      </c>
      <c r="BI13" s="610">
        <f t="shared" si="10"/>
        <v>1.3043478260869565E-2</v>
      </c>
      <c r="BJ13" s="610">
        <f t="shared" si="11"/>
        <v>0.18888888888888888</v>
      </c>
      <c r="BK13" s="610">
        <f t="shared" si="12"/>
        <v>1E-3</v>
      </c>
      <c r="BL13" s="610">
        <f t="shared" si="13"/>
        <v>2.3868312757201649E-3</v>
      </c>
      <c r="BM13" s="610">
        <f t="shared" si="14"/>
        <v>2.3500000000000001E-3</v>
      </c>
      <c r="BN13" s="563">
        <f t="shared" si="15"/>
        <v>190.52498864152659</v>
      </c>
      <c r="BO13" s="563">
        <f t="shared" si="16"/>
        <v>207.66919842547861</v>
      </c>
      <c r="BP13" s="611">
        <f t="shared" si="17"/>
        <v>0.91744461906754959</v>
      </c>
      <c r="BR13" s="564">
        <f t="shared" si="18"/>
        <v>12.375</v>
      </c>
      <c r="BS13" s="564">
        <f t="shared" si="19"/>
        <v>0.19350000000000001</v>
      </c>
      <c r="BT13" s="564">
        <f t="shared" si="20"/>
        <v>0.75</v>
      </c>
      <c r="BU13" s="564">
        <f t="shared" si="21"/>
        <v>5.6000000000000005</v>
      </c>
      <c r="BV13" s="564">
        <f t="shared" si="22"/>
        <v>1.5</v>
      </c>
      <c r="BW13" s="564">
        <f t="shared" si="23"/>
        <v>0.11947000000000001</v>
      </c>
      <c r="BX13" s="564">
        <f t="shared" si="0"/>
        <v>6.9999999999999993E-3</v>
      </c>
      <c r="BY13" s="564">
        <f t="shared" si="24"/>
        <v>0.10211999999999999</v>
      </c>
      <c r="BZ13" s="564">
        <f t="shared" si="25"/>
        <v>3.8409999999999998E-3</v>
      </c>
      <c r="CA13" s="564">
        <f t="shared" si="26"/>
        <v>20.650931000000003</v>
      </c>
      <c r="CB13" s="611">
        <f t="shared" si="27"/>
        <v>0.95957859438530668</v>
      </c>
      <c r="CC13" s="610"/>
      <c r="CD13" s="610">
        <f t="shared" si="3"/>
        <v>0.7</v>
      </c>
      <c r="CE13" s="610">
        <f t="shared" si="4"/>
        <v>0.6</v>
      </c>
      <c r="CF13" s="610">
        <f t="shared" ref="CF13:CF20" si="38">IF(AW13-AV13&gt;0,AW13-AV13,0)</f>
        <v>0.99999999999999978</v>
      </c>
      <c r="CG13" s="610">
        <f t="shared" ref="CG13:CG20" si="39">IF(AW13-AV13&gt;0,AX13+AY13,AW13+AX13+AY13-AV13)</f>
        <v>0.50149999999999995</v>
      </c>
    </row>
    <row r="14" spans="2:85" ht="20.149999999999999" customHeight="1" x14ac:dyDescent="0.2">
      <c r="B14" s="390" t="s">
        <v>202</v>
      </c>
      <c r="C14" s="391" t="s">
        <v>635</v>
      </c>
      <c r="D14" s="218">
        <v>17.91666666666616</v>
      </c>
      <c r="E14" s="623">
        <f>0.5*0.043</f>
        <v>2.1499999999999998E-2</v>
      </c>
      <c r="F14" s="393">
        <v>8.5000000000000006E-2</v>
      </c>
      <c r="G14" s="393">
        <v>6.8</v>
      </c>
      <c r="H14" s="394">
        <v>0.11</v>
      </c>
      <c r="I14" s="393">
        <v>2.6</v>
      </c>
      <c r="J14" s="393">
        <v>4.7E-2</v>
      </c>
      <c r="K14" s="393">
        <v>2.5000000000000001E-2</v>
      </c>
      <c r="L14" s="391">
        <v>2.5000000000000001E-2</v>
      </c>
      <c r="M14" s="392">
        <v>130</v>
      </c>
      <c r="N14" s="393">
        <v>11</v>
      </c>
      <c r="O14" s="393">
        <v>4.9000000000000004</v>
      </c>
      <c r="P14" s="393">
        <v>75</v>
      </c>
      <c r="Q14" s="624">
        <f>0.5*10</f>
        <v>5</v>
      </c>
      <c r="R14" s="624">
        <f t="shared" si="28"/>
        <v>0.2</v>
      </c>
      <c r="S14" s="393">
        <v>1.7</v>
      </c>
      <c r="T14" s="393">
        <v>6.9</v>
      </c>
      <c r="U14" s="624">
        <f>0.5*1.8</f>
        <v>0.9</v>
      </c>
      <c r="V14" s="393">
        <v>2.9</v>
      </c>
      <c r="W14" s="393">
        <v>49</v>
      </c>
      <c r="X14" s="624">
        <f t="shared" si="29"/>
        <v>0.13</v>
      </c>
      <c r="Y14" s="393">
        <v>2.2999999999999998</v>
      </c>
      <c r="Z14" s="393">
        <v>1.5</v>
      </c>
      <c r="AA14" s="393">
        <v>12</v>
      </c>
      <c r="AB14" s="393">
        <v>0.84</v>
      </c>
      <c r="AC14" s="393">
        <v>1.4</v>
      </c>
      <c r="AD14" s="393">
        <v>0.15</v>
      </c>
      <c r="AE14" s="393">
        <v>0.49</v>
      </c>
      <c r="AF14" s="393">
        <v>1.3</v>
      </c>
      <c r="AG14" s="624">
        <f>0.5*0.26</f>
        <v>0.13</v>
      </c>
      <c r="AH14" s="393">
        <v>2</v>
      </c>
      <c r="AI14" s="624">
        <f>0.5*0.13</f>
        <v>6.5000000000000002E-2</v>
      </c>
      <c r="AJ14" s="624">
        <f t="shared" si="30"/>
        <v>0.105</v>
      </c>
      <c r="AK14" s="624">
        <f t="shared" si="31"/>
        <v>0.13</v>
      </c>
      <c r="AL14" s="628">
        <f t="shared" si="32"/>
        <v>6.5000000000000002E-2</v>
      </c>
      <c r="AM14" s="628">
        <f t="shared" si="33"/>
        <v>0.7</v>
      </c>
      <c r="AN14" s="628">
        <f t="shared" si="34"/>
        <v>7.4999999999999997E-2</v>
      </c>
      <c r="AO14" s="628">
        <f t="shared" si="35"/>
        <v>0.16500000000000001</v>
      </c>
      <c r="AP14" s="393">
        <v>3.8</v>
      </c>
      <c r="AQ14" s="32"/>
      <c r="AR14" s="623">
        <f t="shared" si="36"/>
        <v>1.95E-2</v>
      </c>
      <c r="AS14" s="36">
        <v>1.4</v>
      </c>
      <c r="AT14" s="36">
        <v>0.57999999999999996</v>
      </c>
      <c r="AU14" s="36">
        <v>0.27</v>
      </c>
      <c r="AV14" s="36">
        <v>1.3</v>
      </c>
      <c r="AW14" s="35">
        <v>2.2000000000000002</v>
      </c>
      <c r="AX14" s="33">
        <v>0.52</v>
      </c>
      <c r="AY14" s="628">
        <f t="shared" si="37"/>
        <v>1.15E-2</v>
      </c>
      <c r="AZ14" s="33">
        <v>3.6</v>
      </c>
      <c r="BA14" s="654">
        <v>1.4</v>
      </c>
      <c r="BB14" s="655">
        <v>2.2000000000000002</v>
      </c>
      <c r="BC14" s="619">
        <f t="shared" si="5"/>
        <v>0.99152777777777767</v>
      </c>
      <c r="BD14" s="610">
        <f t="shared" si="6"/>
        <v>1.0225</v>
      </c>
      <c r="BF14" s="610">
        <f t="shared" si="7"/>
        <v>6.0563380281690134E-4</v>
      </c>
      <c r="BG14" s="610">
        <f t="shared" si="8"/>
        <v>1.370967741935484E-3</v>
      </c>
      <c r="BH14" s="610">
        <f t="shared" si="9"/>
        <v>0.14166666666666666</v>
      </c>
      <c r="BI14" s="610">
        <f t="shared" si="10"/>
        <v>4.7826086956521737E-3</v>
      </c>
      <c r="BJ14" s="610">
        <f t="shared" si="11"/>
        <v>0.14444444444444446</v>
      </c>
      <c r="BK14" s="610">
        <f t="shared" si="12"/>
        <v>1.2051282051282052E-3</v>
      </c>
      <c r="BL14" s="610">
        <f t="shared" si="13"/>
        <v>2.05761316872428E-3</v>
      </c>
      <c r="BM14" s="610">
        <f t="shared" si="14"/>
        <v>1.25E-3</v>
      </c>
      <c r="BN14" s="563">
        <f t="shared" si="15"/>
        <v>143.64326821141904</v>
      </c>
      <c r="BO14" s="563">
        <f t="shared" si="16"/>
        <v>153.73979451394908</v>
      </c>
      <c r="BP14" s="611">
        <f t="shared" si="17"/>
        <v>0.93432717706921375</v>
      </c>
      <c r="BR14" s="564">
        <f t="shared" si="18"/>
        <v>9.35</v>
      </c>
      <c r="BS14" s="564">
        <f t="shared" si="19"/>
        <v>0.10965000000000001</v>
      </c>
      <c r="BT14" s="564">
        <f t="shared" si="20"/>
        <v>0.27500000000000002</v>
      </c>
      <c r="BU14" s="564">
        <f t="shared" si="21"/>
        <v>5.7600000000000007</v>
      </c>
      <c r="BV14" s="564">
        <f t="shared" si="22"/>
        <v>1.4</v>
      </c>
      <c r="BW14" s="564">
        <f t="shared" si="23"/>
        <v>0.10109</v>
      </c>
      <c r="BX14" s="564">
        <f t="shared" si="0"/>
        <v>6.9999999999999993E-3</v>
      </c>
      <c r="BY14" s="564">
        <f t="shared" si="24"/>
        <v>6.762E-2</v>
      </c>
      <c r="BZ14" s="564">
        <f t="shared" si="25"/>
        <v>2.8389999999999995E-3</v>
      </c>
      <c r="CA14" s="564">
        <f t="shared" si="26"/>
        <v>17.073199000000002</v>
      </c>
      <c r="CB14" s="611">
        <f t="shared" si="27"/>
        <v>0.95292273488374801</v>
      </c>
      <c r="CC14" s="610"/>
      <c r="CD14" s="610">
        <f t="shared" si="3"/>
        <v>0.72</v>
      </c>
      <c r="CE14" s="610">
        <f t="shared" si="4"/>
        <v>0.61111111111111116</v>
      </c>
      <c r="CF14" s="610">
        <f t="shared" si="38"/>
        <v>0.90000000000000013</v>
      </c>
      <c r="CG14" s="610">
        <f t="shared" si="39"/>
        <v>0.53149999999999997</v>
      </c>
    </row>
    <row r="15" spans="2:85" ht="20.149999999999999" customHeight="1" x14ac:dyDescent="0.2">
      <c r="B15" s="390" t="s">
        <v>202</v>
      </c>
      <c r="C15" s="391" t="s">
        <v>636</v>
      </c>
      <c r="D15" s="218">
        <v>22.833333333331431</v>
      </c>
      <c r="E15" s="623">
        <f>0.5*0.043</f>
        <v>2.1499999999999998E-2</v>
      </c>
      <c r="F15" s="393">
        <v>0.16</v>
      </c>
      <c r="G15" s="393">
        <v>11</v>
      </c>
      <c r="H15" s="394">
        <v>8.1000000000000003E-2</v>
      </c>
      <c r="I15" s="396">
        <v>4</v>
      </c>
      <c r="J15" s="393">
        <v>5.2999999999999999E-2</v>
      </c>
      <c r="K15" s="393">
        <v>1.7999999999999999E-2</v>
      </c>
      <c r="L15" s="391">
        <v>2.9000000000000001E-2</v>
      </c>
      <c r="M15" s="392">
        <v>83</v>
      </c>
      <c r="N15" s="393">
        <v>13</v>
      </c>
      <c r="O15" s="393">
        <v>14</v>
      </c>
      <c r="P15" s="393">
        <v>83</v>
      </c>
      <c r="Q15" s="393">
        <v>15</v>
      </c>
      <c r="R15" s="624">
        <f t="shared" si="28"/>
        <v>0.2</v>
      </c>
      <c r="S15" s="393">
        <v>2.5</v>
      </c>
      <c r="T15" s="393">
        <v>11</v>
      </c>
      <c r="U15" s="624">
        <f>0.5*1.8</f>
        <v>0.9</v>
      </c>
      <c r="V15" s="393">
        <v>4</v>
      </c>
      <c r="W15" s="393">
        <v>100</v>
      </c>
      <c r="X15" s="624">
        <f t="shared" si="29"/>
        <v>0.13</v>
      </c>
      <c r="Y15" s="393">
        <v>4</v>
      </c>
      <c r="Z15" s="393">
        <v>1.8</v>
      </c>
      <c r="AA15" s="393">
        <v>16</v>
      </c>
      <c r="AB15" s="411">
        <v>0.8</v>
      </c>
      <c r="AC15" s="393">
        <v>1.6</v>
      </c>
      <c r="AD15" s="393">
        <v>0.22</v>
      </c>
      <c r="AE15" s="393">
        <v>1.5</v>
      </c>
      <c r="AF15" s="393">
        <v>1.3</v>
      </c>
      <c r="AG15" s="624">
        <f>0.5*0.26</f>
        <v>0.13</v>
      </c>
      <c r="AH15" s="393">
        <v>2.1</v>
      </c>
      <c r="AI15" s="393">
        <v>0.19</v>
      </c>
      <c r="AJ15" s="624">
        <f t="shared" si="30"/>
        <v>0.105</v>
      </c>
      <c r="AK15" s="624">
        <f t="shared" si="31"/>
        <v>0.13</v>
      </c>
      <c r="AL15" s="628">
        <f t="shared" si="32"/>
        <v>6.5000000000000002E-2</v>
      </c>
      <c r="AM15" s="628">
        <f t="shared" si="33"/>
        <v>0.7</v>
      </c>
      <c r="AN15" s="628">
        <f t="shared" si="34"/>
        <v>7.4999999999999997E-2</v>
      </c>
      <c r="AO15" s="628">
        <f t="shared" si="35"/>
        <v>0.16500000000000001</v>
      </c>
      <c r="AP15" s="393">
        <v>5.4</v>
      </c>
      <c r="AQ15" s="32"/>
      <c r="AR15" s="623">
        <f t="shared" si="36"/>
        <v>1.95E-2</v>
      </c>
      <c r="AS15" s="36">
        <v>1.6</v>
      </c>
      <c r="AT15" s="36">
        <v>0.59</v>
      </c>
      <c r="AU15" s="36">
        <v>0.28999999999999998</v>
      </c>
      <c r="AV15" s="36">
        <v>1.6</v>
      </c>
      <c r="AW15" s="35">
        <v>2.2999999999999998</v>
      </c>
      <c r="AX15" s="33">
        <v>0.59</v>
      </c>
      <c r="AY15" s="628">
        <f t="shared" si="37"/>
        <v>1.15E-2</v>
      </c>
      <c r="AZ15" s="33">
        <v>4.0999999999999996</v>
      </c>
      <c r="BA15" s="654">
        <v>1.3</v>
      </c>
      <c r="BB15" s="655">
        <v>2.1</v>
      </c>
      <c r="BC15" s="619">
        <f t="shared" si="5"/>
        <v>0.99987804878048814</v>
      </c>
      <c r="BD15" s="610">
        <f t="shared" si="6"/>
        <v>1.0011538461538456</v>
      </c>
      <c r="BF15" s="610">
        <f t="shared" si="7"/>
        <v>6.0563380281690134E-4</v>
      </c>
      <c r="BG15" s="610">
        <f t="shared" si="8"/>
        <v>2.5806451612903226E-3</v>
      </c>
      <c r="BH15" s="610">
        <f t="shared" si="9"/>
        <v>0.22916666666666666</v>
      </c>
      <c r="BI15" s="610">
        <f t="shared" si="10"/>
        <v>3.5217391304347826E-3</v>
      </c>
      <c r="BJ15" s="610">
        <f t="shared" si="11"/>
        <v>0.22222222222222221</v>
      </c>
      <c r="BK15" s="610">
        <f t="shared" si="12"/>
        <v>1.3589743589743589E-3</v>
      </c>
      <c r="BL15" s="610">
        <f t="shared" si="13"/>
        <v>1.4814814814814814E-3</v>
      </c>
      <c r="BM15" s="610">
        <f t="shared" si="14"/>
        <v>1.4500000000000001E-3</v>
      </c>
      <c r="BN15" s="563">
        <f t="shared" si="15"/>
        <v>232.35294563077389</v>
      </c>
      <c r="BO15" s="563">
        <f t="shared" si="16"/>
        <v>230.03441719311283</v>
      </c>
      <c r="BP15" s="611">
        <f t="shared" si="17"/>
        <v>1.0100790501958439</v>
      </c>
      <c r="BR15" s="564">
        <f t="shared" si="18"/>
        <v>15.125</v>
      </c>
      <c r="BS15" s="564">
        <f t="shared" si="19"/>
        <v>0.2064</v>
      </c>
      <c r="BT15" s="564">
        <f t="shared" si="20"/>
        <v>0.20250000000000001</v>
      </c>
      <c r="BU15" s="564">
        <f t="shared" si="21"/>
        <v>6.56</v>
      </c>
      <c r="BV15" s="564">
        <f t="shared" si="22"/>
        <v>1.3</v>
      </c>
      <c r="BW15" s="564">
        <f t="shared" si="23"/>
        <v>0.11947000000000001</v>
      </c>
      <c r="BX15" s="564">
        <f t="shared" si="0"/>
        <v>2.0999999999999998E-2</v>
      </c>
      <c r="BY15" s="564">
        <f t="shared" si="24"/>
        <v>0.13799999999999998</v>
      </c>
      <c r="BZ15" s="564">
        <f t="shared" si="25"/>
        <v>4.1749999999999999E-3</v>
      </c>
      <c r="CA15" s="564">
        <f t="shared" si="26"/>
        <v>23.676545000000004</v>
      </c>
      <c r="CB15" s="611">
        <f t="shared" si="27"/>
        <v>1.0369289781022764</v>
      </c>
      <c r="CC15" s="610"/>
      <c r="CD15" s="610">
        <f t="shared" si="3"/>
        <v>0.7592592592592593</v>
      </c>
      <c r="CE15" s="610">
        <f t="shared" si="4"/>
        <v>0.51219512195121952</v>
      </c>
      <c r="CF15" s="610">
        <f t="shared" si="38"/>
        <v>0.69999999999999973</v>
      </c>
      <c r="CG15" s="610">
        <f t="shared" si="39"/>
        <v>0.60149999999999992</v>
      </c>
    </row>
    <row r="16" spans="2:85" ht="20.149999999999999" customHeight="1" x14ac:dyDescent="0.2">
      <c r="B16" s="390" t="s">
        <v>202</v>
      </c>
      <c r="C16" s="391" t="s">
        <v>637</v>
      </c>
      <c r="D16" s="218">
        <v>28.583333333332835</v>
      </c>
      <c r="E16" s="623">
        <f>0.5*0.043</f>
        <v>2.1499999999999998E-2</v>
      </c>
      <c r="F16" s="393">
        <v>0.2</v>
      </c>
      <c r="G16" s="393">
        <v>15</v>
      </c>
      <c r="H16" s="394">
        <v>7.2999999999999995E-2</v>
      </c>
      <c r="I16" s="393">
        <v>4.8</v>
      </c>
      <c r="J16" s="393">
        <v>0.19</v>
      </c>
      <c r="K16" s="393">
        <v>2.4E-2</v>
      </c>
      <c r="L16" s="391">
        <v>4.3999999999999997E-2</v>
      </c>
      <c r="M16" s="392">
        <v>99</v>
      </c>
      <c r="N16" s="393">
        <v>23</v>
      </c>
      <c r="O16" s="393">
        <v>35</v>
      </c>
      <c r="P16" s="393">
        <v>150</v>
      </c>
      <c r="Q16" s="393">
        <v>33</v>
      </c>
      <c r="R16" s="624">
        <f t="shared" si="28"/>
        <v>0.2</v>
      </c>
      <c r="S16" s="393">
        <v>4.7</v>
      </c>
      <c r="T16" s="393">
        <v>14</v>
      </c>
      <c r="U16" s="393">
        <v>3.8</v>
      </c>
      <c r="V16" s="393">
        <v>8.1999999999999993</v>
      </c>
      <c r="W16" s="393">
        <v>190</v>
      </c>
      <c r="X16" s="624">
        <f t="shared" si="29"/>
        <v>0.13</v>
      </c>
      <c r="Y16" s="393">
        <v>4.9000000000000004</v>
      </c>
      <c r="Z16" s="393">
        <v>3.7</v>
      </c>
      <c r="AA16" s="393">
        <v>37</v>
      </c>
      <c r="AB16" s="393">
        <v>2.1</v>
      </c>
      <c r="AC16" s="393">
        <v>2.8</v>
      </c>
      <c r="AD16" s="393">
        <v>0.64</v>
      </c>
      <c r="AE16" s="393">
        <v>1.5</v>
      </c>
      <c r="AF16" s="393">
        <v>2.2999999999999998</v>
      </c>
      <c r="AG16" s="624">
        <f>0.5*0.26</f>
        <v>0.13</v>
      </c>
      <c r="AH16" s="393">
        <v>2.4</v>
      </c>
      <c r="AI16" s="393">
        <v>0.18</v>
      </c>
      <c r="AJ16" s="624">
        <f t="shared" si="30"/>
        <v>0.105</v>
      </c>
      <c r="AK16" s="624">
        <f t="shared" si="31"/>
        <v>0.13</v>
      </c>
      <c r="AL16" s="628">
        <f t="shared" si="32"/>
        <v>6.5000000000000002E-2</v>
      </c>
      <c r="AM16" s="628">
        <f t="shared" si="33"/>
        <v>0.7</v>
      </c>
      <c r="AN16" s="628">
        <f t="shared" si="34"/>
        <v>7.4999999999999997E-2</v>
      </c>
      <c r="AO16" s="628">
        <f t="shared" si="35"/>
        <v>0.16500000000000001</v>
      </c>
      <c r="AP16" s="393">
        <v>13</v>
      </c>
      <c r="AQ16" s="32"/>
      <c r="AR16" s="623">
        <f t="shared" si="36"/>
        <v>1.95E-2</v>
      </c>
      <c r="AS16" s="36">
        <v>1.8</v>
      </c>
      <c r="AT16" s="36">
        <v>0.65</v>
      </c>
      <c r="AU16" s="36">
        <v>0.28999999999999998</v>
      </c>
      <c r="AV16" s="36">
        <v>1.4</v>
      </c>
      <c r="AW16" s="35">
        <v>2.2999999999999998</v>
      </c>
      <c r="AX16" s="33">
        <v>0.51</v>
      </c>
      <c r="AY16" s="628">
        <f t="shared" si="37"/>
        <v>1.15E-2</v>
      </c>
      <c r="AZ16" s="33">
        <v>4.0999999999999996</v>
      </c>
      <c r="BA16" s="654">
        <v>1.4</v>
      </c>
      <c r="BB16" s="655">
        <v>2.5</v>
      </c>
      <c r="BC16" s="619">
        <f t="shared" si="5"/>
        <v>1.0145121951219511</v>
      </c>
      <c r="BD16" s="610">
        <f t="shared" si="6"/>
        <v>1.0153571428571426</v>
      </c>
      <c r="BF16" s="610">
        <f t="shared" si="7"/>
        <v>6.0563380281690134E-4</v>
      </c>
      <c r="BG16" s="610">
        <f t="shared" si="8"/>
        <v>3.2258064516129032E-3</v>
      </c>
      <c r="BH16" s="610">
        <f t="shared" si="9"/>
        <v>0.3125</v>
      </c>
      <c r="BI16" s="610">
        <f t="shared" si="10"/>
        <v>3.1739130434782605E-3</v>
      </c>
      <c r="BJ16" s="610">
        <f t="shared" si="11"/>
        <v>0.26666666666666666</v>
      </c>
      <c r="BK16" s="610">
        <f t="shared" si="12"/>
        <v>4.871794871794872E-3</v>
      </c>
      <c r="BL16" s="610">
        <f t="shared" si="13"/>
        <v>1.9753086419753087E-3</v>
      </c>
      <c r="BM16" s="610">
        <f t="shared" si="14"/>
        <v>2.1999999999999997E-3</v>
      </c>
      <c r="BN16" s="563">
        <f t="shared" si="15"/>
        <v>316.33144025442982</v>
      </c>
      <c r="BO16" s="563">
        <f t="shared" si="16"/>
        <v>278.88768322391513</v>
      </c>
      <c r="BP16" s="611">
        <f t="shared" si="17"/>
        <v>1.1342610638005537</v>
      </c>
      <c r="BR16" s="564">
        <f t="shared" si="18"/>
        <v>20.625</v>
      </c>
      <c r="BS16" s="564">
        <f t="shared" si="19"/>
        <v>0.25800000000000001</v>
      </c>
      <c r="BT16" s="564">
        <f t="shared" si="20"/>
        <v>0.1825</v>
      </c>
      <c r="BU16" s="564">
        <f t="shared" si="21"/>
        <v>6.56</v>
      </c>
      <c r="BV16" s="564">
        <f t="shared" si="22"/>
        <v>1.4</v>
      </c>
      <c r="BW16" s="564">
        <f t="shared" si="23"/>
        <v>0.21137</v>
      </c>
      <c r="BX16" s="564">
        <f t="shared" si="0"/>
        <v>4.6199999999999998E-2</v>
      </c>
      <c r="BY16" s="564">
        <f t="shared" si="24"/>
        <v>0.26219999999999999</v>
      </c>
      <c r="BZ16" s="564">
        <f t="shared" si="25"/>
        <v>7.8490000000000001E-3</v>
      </c>
      <c r="CA16" s="564">
        <f t="shared" si="26"/>
        <v>29.553118999999995</v>
      </c>
      <c r="CB16" s="611">
        <f t="shared" si="27"/>
        <v>1.0339283615160528</v>
      </c>
      <c r="CC16" s="610"/>
      <c r="CD16" s="610">
        <f t="shared" si="3"/>
        <v>0.74545454545454537</v>
      </c>
      <c r="CE16" s="610">
        <f t="shared" si="4"/>
        <v>0.60975609756097571</v>
      </c>
      <c r="CF16" s="610">
        <f t="shared" si="38"/>
        <v>0.89999999999999991</v>
      </c>
      <c r="CG16" s="610">
        <f t="shared" si="39"/>
        <v>0.52149999999999996</v>
      </c>
    </row>
    <row r="17" spans="2:85" ht="20.149999999999999" customHeight="1" x14ac:dyDescent="0.2">
      <c r="B17" s="390" t="s">
        <v>202</v>
      </c>
      <c r="C17" s="391" t="s">
        <v>638</v>
      </c>
      <c r="D17" s="218">
        <v>35.395833333332803</v>
      </c>
      <c r="E17" s="392">
        <v>0.14000000000000001</v>
      </c>
      <c r="F17" s="393">
        <v>0.26</v>
      </c>
      <c r="G17" s="393">
        <v>18</v>
      </c>
      <c r="H17" s="394">
        <v>0.15</v>
      </c>
      <c r="I17" s="393">
        <v>6.8</v>
      </c>
      <c r="J17" s="393">
        <v>0.53</v>
      </c>
      <c r="K17" s="393">
        <v>6.4000000000000001E-2</v>
      </c>
      <c r="L17" s="391">
        <v>9.9000000000000005E-2</v>
      </c>
      <c r="M17" s="392">
        <v>100</v>
      </c>
      <c r="N17" s="393">
        <v>25</v>
      </c>
      <c r="O17" s="393">
        <v>71</v>
      </c>
      <c r="P17" s="393">
        <v>190</v>
      </c>
      <c r="Q17" s="393">
        <v>40</v>
      </c>
      <c r="R17" s="624">
        <f t="shared" si="28"/>
        <v>0.2</v>
      </c>
      <c r="S17" s="393">
        <v>5.9</v>
      </c>
      <c r="T17" s="393">
        <v>16</v>
      </c>
      <c r="U17" s="393">
        <v>2.7</v>
      </c>
      <c r="V17" s="393">
        <v>9</v>
      </c>
      <c r="W17" s="393">
        <v>190</v>
      </c>
      <c r="X17" s="624">
        <f t="shared" si="29"/>
        <v>0.13</v>
      </c>
      <c r="Y17" s="393">
        <v>5.6</v>
      </c>
      <c r="Z17" s="393">
        <v>5.0999999999999996</v>
      </c>
      <c r="AA17" s="393">
        <v>43</v>
      </c>
      <c r="AB17" s="393">
        <v>2.7</v>
      </c>
      <c r="AC17" s="393">
        <v>3.4</v>
      </c>
      <c r="AD17" s="393">
        <v>0.76</v>
      </c>
      <c r="AE17" s="393">
        <v>1.4</v>
      </c>
      <c r="AF17" s="393">
        <v>2.6</v>
      </c>
      <c r="AG17" s="393">
        <v>0.31</v>
      </c>
      <c r="AH17" s="393">
        <v>3.9</v>
      </c>
      <c r="AI17" s="393">
        <v>0.25</v>
      </c>
      <c r="AJ17" s="624">
        <f t="shared" si="30"/>
        <v>0.105</v>
      </c>
      <c r="AK17" s="624">
        <f t="shared" si="31"/>
        <v>0.13</v>
      </c>
      <c r="AL17" s="628">
        <f t="shared" si="32"/>
        <v>6.5000000000000002E-2</v>
      </c>
      <c r="AM17" s="628">
        <f t="shared" si="33"/>
        <v>0.7</v>
      </c>
      <c r="AN17" s="628">
        <f t="shared" si="34"/>
        <v>7.4999999999999997E-2</v>
      </c>
      <c r="AO17" s="628">
        <f t="shared" si="35"/>
        <v>0.16500000000000001</v>
      </c>
      <c r="AP17" s="393">
        <v>16</v>
      </c>
      <c r="AQ17" s="32"/>
      <c r="AR17" s="623">
        <f t="shared" si="36"/>
        <v>1.95E-2</v>
      </c>
      <c r="AS17" s="36">
        <v>1.9</v>
      </c>
      <c r="AT17" s="36">
        <v>0.69</v>
      </c>
      <c r="AU17" s="36">
        <v>0.35</v>
      </c>
      <c r="AV17" s="36">
        <v>1.8</v>
      </c>
      <c r="AW17" s="35">
        <v>2.7</v>
      </c>
      <c r="AX17" s="33">
        <v>0.51</v>
      </c>
      <c r="AY17" s="628">
        <f t="shared" si="37"/>
        <v>1.15E-2</v>
      </c>
      <c r="AZ17" s="33">
        <v>4.7</v>
      </c>
      <c r="BA17" s="654">
        <v>1.4</v>
      </c>
      <c r="BB17" s="655">
        <v>2.8</v>
      </c>
      <c r="BC17" s="619">
        <f t="shared" si="5"/>
        <v>1.0126595744680851</v>
      </c>
      <c r="BD17" s="610">
        <f t="shared" si="6"/>
        <v>1.0153571428571428</v>
      </c>
      <c r="BF17" s="610">
        <f t="shared" si="7"/>
        <v>3.9436619718309866E-3</v>
      </c>
      <c r="BG17" s="610">
        <f t="shared" si="8"/>
        <v>4.193548387096774E-3</v>
      </c>
      <c r="BH17" s="610">
        <f t="shared" si="9"/>
        <v>0.375</v>
      </c>
      <c r="BI17" s="610">
        <f t="shared" si="10"/>
        <v>6.5217391304347823E-3</v>
      </c>
      <c r="BJ17" s="610">
        <f t="shared" si="11"/>
        <v>0.37777777777777777</v>
      </c>
      <c r="BK17" s="610">
        <f t="shared" si="12"/>
        <v>1.358974358974359E-2</v>
      </c>
      <c r="BL17" s="610">
        <f t="shared" si="13"/>
        <v>5.2674897119341559E-3</v>
      </c>
      <c r="BM17" s="610">
        <f t="shared" si="14"/>
        <v>4.9500000000000004E-3</v>
      </c>
      <c r="BN17" s="563">
        <f t="shared" si="15"/>
        <v>383.1372103589278</v>
      </c>
      <c r="BO17" s="563">
        <f t="shared" si="16"/>
        <v>408.10675020989027</v>
      </c>
      <c r="BP17" s="611">
        <f t="shared" si="17"/>
        <v>0.93881615572856714</v>
      </c>
      <c r="BR17" s="564">
        <f t="shared" si="18"/>
        <v>24.75</v>
      </c>
      <c r="BS17" s="564">
        <f t="shared" si="19"/>
        <v>0.33540000000000003</v>
      </c>
      <c r="BT17" s="564">
        <f t="shared" si="20"/>
        <v>0.375</v>
      </c>
      <c r="BU17" s="564">
        <f t="shared" si="21"/>
        <v>7.5200000000000005</v>
      </c>
      <c r="BV17" s="564">
        <f t="shared" si="22"/>
        <v>1.4</v>
      </c>
      <c r="BW17" s="564">
        <f t="shared" si="23"/>
        <v>0.22975000000000001</v>
      </c>
      <c r="BX17" s="564">
        <f t="shared" si="0"/>
        <v>5.5999999999999994E-2</v>
      </c>
      <c r="BY17" s="564">
        <f t="shared" si="24"/>
        <v>0.26219999999999999</v>
      </c>
      <c r="BZ17" s="564">
        <f t="shared" si="25"/>
        <v>9.8530000000000006E-3</v>
      </c>
      <c r="CA17" s="564">
        <f t="shared" si="26"/>
        <v>34.938203000000001</v>
      </c>
      <c r="CB17" s="611">
        <f t="shared" si="27"/>
        <v>0.98707106768688946</v>
      </c>
      <c r="CC17" s="610"/>
      <c r="CD17" s="610">
        <f t="shared" si="3"/>
        <v>0.7704918032786886</v>
      </c>
      <c r="CE17" s="610">
        <f t="shared" si="4"/>
        <v>0.5957446808510638</v>
      </c>
      <c r="CF17" s="610">
        <f t="shared" si="38"/>
        <v>0.90000000000000013</v>
      </c>
      <c r="CG17" s="610">
        <f t="shared" si="39"/>
        <v>0.52149999999999996</v>
      </c>
    </row>
    <row r="18" spans="2:85" ht="20.149999999999999" customHeight="1" thickBot="1" x14ac:dyDescent="0.25">
      <c r="B18" s="397" t="s">
        <v>202</v>
      </c>
      <c r="C18" s="403" t="s">
        <v>639</v>
      </c>
      <c r="D18" s="399">
        <v>30.83333333333292</v>
      </c>
      <c r="E18" s="631">
        <f>0.5*0.043</f>
        <v>2.1499999999999998E-2</v>
      </c>
      <c r="F18" s="412">
        <v>0.1</v>
      </c>
      <c r="G18" s="401">
        <v>15</v>
      </c>
      <c r="H18" s="402">
        <v>0.11</v>
      </c>
      <c r="I18" s="401">
        <v>5.6</v>
      </c>
      <c r="J18" s="401">
        <v>0.14000000000000001</v>
      </c>
      <c r="K18" s="401">
        <v>3.2000000000000001E-2</v>
      </c>
      <c r="L18" s="403">
        <v>7.3999999999999996E-2</v>
      </c>
      <c r="M18" s="400">
        <v>110</v>
      </c>
      <c r="N18" s="401">
        <v>51</v>
      </c>
      <c r="O18" s="401">
        <v>82</v>
      </c>
      <c r="P18" s="401">
        <v>200</v>
      </c>
      <c r="Q18" s="401">
        <v>52</v>
      </c>
      <c r="R18" s="626">
        <f t="shared" si="28"/>
        <v>0.2</v>
      </c>
      <c r="S18" s="401">
        <v>7.2</v>
      </c>
      <c r="T18" s="401">
        <v>12</v>
      </c>
      <c r="U18" s="401">
        <v>4.5</v>
      </c>
      <c r="V18" s="401">
        <v>8.9</v>
      </c>
      <c r="W18" s="401">
        <v>220</v>
      </c>
      <c r="X18" s="626">
        <f t="shared" si="29"/>
        <v>0.13</v>
      </c>
      <c r="Y18" s="401">
        <v>4.4000000000000004</v>
      </c>
      <c r="Z18" s="401">
        <v>5.5</v>
      </c>
      <c r="AA18" s="401">
        <v>51</v>
      </c>
      <c r="AB18" s="401">
        <v>3.1</v>
      </c>
      <c r="AC18" s="401">
        <v>3.7</v>
      </c>
      <c r="AD18" s="404">
        <v>1</v>
      </c>
      <c r="AE18" s="401">
        <v>2.7</v>
      </c>
      <c r="AF18" s="401">
        <v>3</v>
      </c>
      <c r="AG18" s="401">
        <v>0.26</v>
      </c>
      <c r="AH18" s="401">
        <v>3.7</v>
      </c>
      <c r="AI18" s="401">
        <v>0.25</v>
      </c>
      <c r="AJ18" s="626">
        <f t="shared" si="30"/>
        <v>0.105</v>
      </c>
      <c r="AK18" s="626">
        <f t="shared" si="31"/>
        <v>0.13</v>
      </c>
      <c r="AL18" s="629">
        <f t="shared" si="32"/>
        <v>6.5000000000000002E-2</v>
      </c>
      <c r="AM18" s="629">
        <f t="shared" si="33"/>
        <v>0.7</v>
      </c>
      <c r="AN18" s="629">
        <f t="shared" si="34"/>
        <v>7.4999999999999997E-2</v>
      </c>
      <c r="AO18" s="629">
        <f t="shared" si="35"/>
        <v>0.16500000000000001</v>
      </c>
      <c r="AP18" s="401">
        <v>23</v>
      </c>
      <c r="AQ18" s="45"/>
      <c r="AR18" s="631">
        <f t="shared" si="36"/>
        <v>1.95E-2</v>
      </c>
      <c r="AS18" s="44">
        <v>1.6</v>
      </c>
      <c r="AT18" s="44">
        <v>0.63</v>
      </c>
      <c r="AU18" s="44">
        <v>0.3</v>
      </c>
      <c r="AV18" s="44">
        <v>1.6</v>
      </c>
      <c r="AW18" s="43">
        <v>2.2999999999999998</v>
      </c>
      <c r="AX18" s="41">
        <v>0.52</v>
      </c>
      <c r="AY18" s="629">
        <f t="shared" si="37"/>
        <v>1.15E-2</v>
      </c>
      <c r="AZ18" s="41">
        <v>4.0999999999999996</v>
      </c>
      <c r="BA18" s="657">
        <v>1.2</v>
      </c>
      <c r="BB18" s="658">
        <v>2.4</v>
      </c>
      <c r="BC18" s="620">
        <f t="shared" si="5"/>
        <v>1.0120731707317074</v>
      </c>
      <c r="BD18" s="617">
        <f t="shared" si="6"/>
        <v>1.0262499999999997</v>
      </c>
      <c r="BE18" s="616"/>
      <c r="BF18" s="617">
        <f t="shared" si="7"/>
        <v>6.0563380281690134E-4</v>
      </c>
      <c r="BG18" s="617">
        <f t="shared" si="8"/>
        <v>1.6129032258064516E-3</v>
      </c>
      <c r="BH18" s="617">
        <f t="shared" si="9"/>
        <v>0.3125</v>
      </c>
      <c r="BI18" s="617">
        <f t="shared" si="10"/>
        <v>4.7826086956521737E-3</v>
      </c>
      <c r="BJ18" s="617">
        <f t="shared" si="11"/>
        <v>0.31111111111111112</v>
      </c>
      <c r="BK18" s="617">
        <f t="shared" si="12"/>
        <v>3.5897435897435902E-3</v>
      </c>
      <c r="BL18" s="617">
        <f t="shared" si="13"/>
        <v>2.633744855967078E-3</v>
      </c>
      <c r="BM18" s="617">
        <f t="shared" si="14"/>
        <v>3.6999999999999997E-3</v>
      </c>
      <c r="BN18" s="621">
        <f t="shared" si="15"/>
        <v>314.71853702862336</v>
      </c>
      <c r="BO18" s="621">
        <f t="shared" si="16"/>
        <v>325.8172082524739</v>
      </c>
      <c r="BP18" s="618">
        <f t="shared" si="17"/>
        <v>0.9659358961321336</v>
      </c>
      <c r="BQ18" s="616"/>
      <c r="BR18" s="615">
        <f t="shared" si="18"/>
        <v>20.625</v>
      </c>
      <c r="BS18" s="615">
        <f t="shared" si="19"/>
        <v>0.129</v>
      </c>
      <c r="BT18" s="615">
        <f t="shared" si="20"/>
        <v>0.27500000000000002</v>
      </c>
      <c r="BU18" s="615">
        <f t="shared" si="21"/>
        <v>6.56</v>
      </c>
      <c r="BV18" s="615">
        <f t="shared" si="22"/>
        <v>1.2</v>
      </c>
      <c r="BW18" s="615">
        <f t="shared" si="23"/>
        <v>0.46869</v>
      </c>
      <c r="BX18" s="615">
        <f t="shared" si="0"/>
        <v>7.279999999999999E-2</v>
      </c>
      <c r="BY18" s="615">
        <f t="shared" si="24"/>
        <v>0.30359999999999998</v>
      </c>
      <c r="BZ18" s="615">
        <f t="shared" si="25"/>
        <v>1.2024E-2</v>
      </c>
      <c r="CA18" s="615">
        <f t="shared" si="26"/>
        <v>29.646113999999997</v>
      </c>
      <c r="CB18" s="618">
        <f t="shared" si="27"/>
        <v>0.96149558918920197</v>
      </c>
      <c r="CC18" s="617"/>
      <c r="CD18" s="617">
        <f t="shared" si="3"/>
        <v>0.7735849056603773</v>
      </c>
      <c r="CE18" s="617">
        <f t="shared" si="4"/>
        <v>0.58536585365853666</v>
      </c>
      <c r="CF18" s="617">
        <f t="shared" si="38"/>
        <v>0.69999999999999973</v>
      </c>
      <c r="CG18" s="617">
        <f t="shared" si="39"/>
        <v>0.53149999999999997</v>
      </c>
    </row>
    <row r="19" spans="2:85" ht="20.149999999999999" customHeight="1" x14ac:dyDescent="0.2">
      <c r="B19" s="390" t="s">
        <v>61</v>
      </c>
      <c r="C19" s="405" t="s">
        <v>640</v>
      </c>
      <c r="D19" s="406">
        <v>26.020833333333034</v>
      </c>
      <c r="E19" s="407" t="s">
        <v>504</v>
      </c>
      <c r="F19" s="408" t="s">
        <v>505</v>
      </c>
      <c r="G19" s="408">
        <v>15</v>
      </c>
      <c r="H19" s="409">
        <v>8.7999999999999995E-2</v>
      </c>
      <c r="I19" s="408">
        <v>5.7</v>
      </c>
      <c r="J19" s="408">
        <v>0.14000000000000001</v>
      </c>
      <c r="K19" s="408">
        <v>2.1000000000000001E-2</v>
      </c>
      <c r="L19" s="395">
        <v>6.7000000000000004E-2</v>
      </c>
      <c r="M19" s="407">
        <v>83</v>
      </c>
      <c r="N19" s="408">
        <v>31</v>
      </c>
      <c r="O19" s="408">
        <v>70</v>
      </c>
      <c r="P19" s="408">
        <v>150</v>
      </c>
      <c r="Q19" s="408">
        <v>42</v>
      </c>
      <c r="R19" s="408" t="s">
        <v>434</v>
      </c>
      <c r="S19" s="408">
        <v>5.2</v>
      </c>
      <c r="T19" s="408">
        <v>9.1999999999999993</v>
      </c>
      <c r="U19" s="408">
        <v>2.6</v>
      </c>
      <c r="V19" s="408">
        <v>7.8</v>
      </c>
      <c r="W19" s="408">
        <v>150</v>
      </c>
      <c r="X19" s="408" t="s">
        <v>486</v>
      </c>
      <c r="Y19" s="408">
        <v>3.5</v>
      </c>
      <c r="Z19" s="408">
        <v>4.3</v>
      </c>
      <c r="AA19" s="408">
        <v>36</v>
      </c>
      <c r="AB19" s="408">
        <v>2.4</v>
      </c>
      <c r="AC19" s="408">
        <v>2.4</v>
      </c>
      <c r="AD19" s="408">
        <v>0.67</v>
      </c>
      <c r="AE19" s="408">
        <v>0.92</v>
      </c>
      <c r="AF19" s="408">
        <v>2</v>
      </c>
      <c r="AG19" s="408" t="s">
        <v>486</v>
      </c>
      <c r="AH19" s="408">
        <v>2.5</v>
      </c>
      <c r="AI19" s="408">
        <v>0.19</v>
      </c>
      <c r="AJ19" s="408" t="s">
        <v>503</v>
      </c>
      <c r="AK19" s="408" t="s">
        <v>486</v>
      </c>
      <c r="AL19" s="237" t="s">
        <v>246</v>
      </c>
      <c r="AM19" s="237" t="s">
        <v>69</v>
      </c>
      <c r="AN19" s="237" t="s">
        <v>220</v>
      </c>
      <c r="AO19" s="237" t="s">
        <v>241</v>
      </c>
      <c r="AP19" s="408">
        <v>14</v>
      </c>
      <c r="AQ19" s="37"/>
      <c r="AR19" s="48" t="s">
        <v>431</v>
      </c>
      <c r="AS19" s="50">
        <v>1.5</v>
      </c>
      <c r="AT19" s="50">
        <v>0.5</v>
      </c>
      <c r="AU19" s="50">
        <v>0.23</v>
      </c>
      <c r="AV19" s="50">
        <v>1.2</v>
      </c>
      <c r="AW19" s="49">
        <v>1.7</v>
      </c>
      <c r="AX19" s="47">
        <v>0.52</v>
      </c>
      <c r="AY19" s="47" t="s">
        <v>292</v>
      </c>
      <c r="AZ19" s="47">
        <v>3.4</v>
      </c>
      <c r="BA19" s="659">
        <v>1</v>
      </c>
      <c r="BB19" s="660">
        <v>1.9</v>
      </c>
      <c r="BC19" s="619">
        <f t="shared" si="5"/>
        <v>1.0088235294117647</v>
      </c>
      <c r="BD19" s="610">
        <f t="shared" si="6"/>
        <v>1.0199999999999998</v>
      </c>
      <c r="BF19" s="610" t="e">
        <f t="shared" si="7"/>
        <v>#VALUE!</v>
      </c>
      <c r="BG19" s="610" t="e">
        <f t="shared" si="8"/>
        <v>#VALUE!</v>
      </c>
      <c r="BH19" s="610">
        <f t="shared" si="9"/>
        <v>0.3125</v>
      </c>
      <c r="BI19" s="610">
        <f t="shared" si="10"/>
        <v>3.8260869565217388E-3</v>
      </c>
      <c r="BJ19" s="610">
        <f t="shared" si="11"/>
        <v>0.31666666666666665</v>
      </c>
      <c r="BK19" s="610">
        <f t="shared" si="12"/>
        <v>3.5897435897435902E-3</v>
      </c>
      <c r="BL19" s="610">
        <f t="shared" si="13"/>
        <v>1.7283950617283952E-3</v>
      </c>
      <c r="BM19" s="610">
        <f t="shared" si="14"/>
        <v>3.3500000000000001E-3</v>
      </c>
      <c r="BN19" s="563" t="e">
        <f t="shared" si="15"/>
        <v>#VALUE!</v>
      </c>
      <c r="BO19" s="563">
        <f t="shared" si="16"/>
        <v>329.1608922746604</v>
      </c>
      <c r="BP19" s="611" t="e">
        <f t="shared" si="17"/>
        <v>#VALUE!</v>
      </c>
      <c r="BR19" s="564">
        <f t="shared" si="18"/>
        <v>20.625</v>
      </c>
      <c r="BS19" s="564" t="e">
        <f t="shared" si="19"/>
        <v>#VALUE!</v>
      </c>
      <c r="BT19" s="564">
        <f t="shared" si="20"/>
        <v>0.21999999999999997</v>
      </c>
      <c r="BU19" s="564">
        <f t="shared" si="21"/>
        <v>5.44</v>
      </c>
      <c r="BV19" s="564">
        <f t="shared" si="22"/>
        <v>1</v>
      </c>
      <c r="BW19" s="564">
        <f t="shared" si="23"/>
        <v>0.28489000000000003</v>
      </c>
      <c r="BX19" s="564">
        <f t="shared" si="0"/>
        <v>5.8799999999999998E-2</v>
      </c>
      <c r="BY19" s="564">
        <f t="shared" si="24"/>
        <v>0.20699999999999999</v>
      </c>
      <c r="BZ19" s="564">
        <f t="shared" si="25"/>
        <v>8.683999999999999E-3</v>
      </c>
      <c r="CA19" s="564" t="e">
        <f t="shared" si="26"/>
        <v>#VALUE!</v>
      </c>
      <c r="CB19" s="611" t="e">
        <f t="shared" si="27"/>
        <v>#VALUE!</v>
      </c>
      <c r="CC19" s="610"/>
      <c r="CD19" s="610">
        <f t="shared" si="3"/>
        <v>0.7727272727272726</v>
      </c>
      <c r="CE19" s="610">
        <f t="shared" si="4"/>
        <v>0.55882352941176472</v>
      </c>
      <c r="CF19" s="610">
        <f t="shared" si="38"/>
        <v>0.5</v>
      </c>
      <c r="CG19" s="610" t="e">
        <f t="shared" si="39"/>
        <v>#VALUE!</v>
      </c>
    </row>
    <row r="20" spans="2:85" ht="20.149999999999999" customHeight="1" x14ac:dyDescent="0.2">
      <c r="B20" s="413" t="s">
        <v>61</v>
      </c>
      <c r="C20" s="414" t="s">
        <v>641</v>
      </c>
      <c r="D20" s="415">
        <v>10.812499999998142</v>
      </c>
      <c r="E20" s="416" t="s">
        <v>504</v>
      </c>
      <c r="F20" s="417">
        <v>0.1</v>
      </c>
      <c r="G20" s="418">
        <v>5.0999999999999996</v>
      </c>
      <c r="H20" s="419">
        <v>9.7000000000000003E-2</v>
      </c>
      <c r="I20" s="420">
        <v>2</v>
      </c>
      <c r="J20" s="418">
        <v>0.23</v>
      </c>
      <c r="K20" s="418">
        <v>1.4999999999999999E-2</v>
      </c>
      <c r="L20" s="414">
        <v>3.4000000000000002E-2</v>
      </c>
      <c r="M20" s="416">
        <v>100</v>
      </c>
      <c r="N20" s="418">
        <v>16</v>
      </c>
      <c r="O20" s="418">
        <v>36</v>
      </c>
      <c r="P20" s="418">
        <v>82</v>
      </c>
      <c r="Q20" s="418">
        <v>35</v>
      </c>
      <c r="R20" s="418" t="s">
        <v>434</v>
      </c>
      <c r="S20" s="418">
        <v>3.8</v>
      </c>
      <c r="T20" s="418">
        <v>5.7</v>
      </c>
      <c r="U20" s="418" t="s">
        <v>501</v>
      </c>
      <c r="V20" s="418">
        <v>3.7</v>
      </c>
      <c r="W20" s="418">
        <v>110</v>
      </c>
      <c r="X20" s="418" t="s">
        <v>486</v>
      </c>
      <c r="Y20" s="420">
        <v>2</v>
      </c>
      <c r="Z20" s="418">
        <v>1.6</v>
      </c>
      <c r="AA20" s="418">
        <v>20</v>
      </c>
      <c r="AB20" s="418">
        <v>0.87</v>
      </c>
      <c r="AC20" s="418">
        <v>1.6</v>
      </c>
      <c r="AD20" s="418">
        <v>0.48</v>
      </c>
      <c r="AE20" s="418" t="s">
        <v>506</v>
      </c>
      <c r="AF20" s="418">
        <v>1.1000000000000001</v>
      </c>
      <c r="AG20" s="418" t="s">
        <v>486</v>
      </c>
      <c r="AH20" s="418">
        <v>1.4</v>
      </c>
      <c r="AI20" s="418">
        <v>0.23</v>
      </c>
      <c r="AJ20" s="418" t="s">
        <v>503</v>
      </c>
      <c r="AK20" s="418" t="s">
        <v>486</v>
      </c>
      <c r="AL20" s="246" t="s">
        <v>246</v>
      </c>
      <c r="AM20" s="246" t="s">
        <v>69</v>
      </c>
      <c r="AN20" s="246" t="s">
        <v>220</v>
      </c>
      <c r="AO20" s="246" t="s">
        <v>241</v>
      </c>
      <c r="AP20" s="418">
        <v>7.8</v>
      </c>
      <c r="AQ20" s="52"/>
      <c r="AR20" s="54" t="s">
        <v>431</v>
      </c>
      <c r="AS20" s="56">
        <v>1.2</v>
      </c>
      <c r="AT20" s="56">
        <v>0.32</v>
      </c>
      <c r="AU20" s="56">
        <v>0.14000000000000001</v>
      </c>
      <c r="AV20" s="56">
        <v>0.64</v>
      </c>
      <c r="AW20" s="55">
        <v>0.79</v>
      </c>
      <c r="AX20" s="53">
        <v>0.51</v>
      </c>
      <c r="AY20" s="53" t="s">
        <v>292</v>
      </c>
      <c r="AZ20" s="53">
        <v>2.2999999999999998</v>
      </c>
      <c r="BA20" s="661">
        <v>0.66</v>
      </c>
      <c r="BB20" s="662">
        <v>0.93</v>
      </c>
      <c r="BC20" s="619">
        <f t="shared" si="5"/>
        <v>1.0000000000000002</v>
      </c>
      <c r="BD20" s="610">
        <f t="shared" si="6"/>
        <v>1</v>
      </c>
      <c r="BF20" s="610" t="e">
        <f t="shared" si="7"/>
        <v>#VALUE!</v>
      </c>
      <c r="BG20" s="610">
        <f t="shared" si="8"/>
        <v>1.6129032258064516E-3</v>
      </c>
      <c r="BH20" s="610">
        <f t="shared" si="9"/>
        <v>0.10625</v>
      </c>
      <c r="BI20" s="610">
        <f t="shared" si="10"/>
        <v>4.2173913043478265E-3</v>
      </c>
      <c r="BJ20" s="610">
        <f t="shared" si="11"/>
        <v>0.1111111111111111</v>
      </c>
      <c r="BK20" s="610">
        <f t="shared" si="12"/>
        <v>5.8974358974358976E-3</v>
      </c>
      <c r="BL20" s="610">
        <f t="shared" si="13"/>
        <v>1.2345679012345679E-3</v>
      </c>
      <c r="BM20" s="610">
        <f t="shared" si="14"/>
        <v>1.7000000000000001E-3</v>
      </c>
      <c r="BN20" s="563" t="e">
        <f t="shared" si="15"/>
        <v>#VALUE!</v>
      </c>
      <c r="BO20" s="563">
        <f t="shared" si="16"/>
        <v>124.16050621412938</v>
      </c>
      <c r="BP20" s="611" t="e">
        <f t="shared" si="17"/>
        <v>#VALUE!</v>
      </c>
      <c r="BR20" s="564">
        <f t="shared" si="18"/>
        <v>7.0124999999999993</v>
      </c>
      <c r="BS20" s="564">
        <f t="shared" si="19"/>
        <v>0.129</v>
      </c>
      <c r="BT20" s="564">
        <f t="shared" si="20"/>
        <v>0.24249999999999999</v>
      </c>
      <c r="BU20" s="564">
        <f t="shared" si="21"/>
        <v>3.6799999999999997</v>
      </c>
      <c r="BV20" s="564">
        <f t="shared" si="22"/>
        <v>0.66</v>
      </c>
      <c r="BW20" s="564">
        <f t="shared" si="23"/>
        <v>0.14704</v>
      </c>
      <c r="BX20" s="564">
        <f t="shared" si="0"/>
        <v>4.9000000000000002E-2</v>
      </c>
      <c r="BY20" s="564">
        <f t="shared" si="24"/>
        <v>0.15179999999999999</v>
      </c>
      <c r="BZ20" s="564">
        <f t="shared" si="25"/>
        <v>6.3460000000000001E-3</v>
      </c>
      <c r="CA20" s="564">
        <f t="shared" si="26"/>
        <v>12.078185999999999</v>
      </c>
      <c r="CB20" s="611">
        <f t="shared" si="27"/>
        <v>1.1170576647400763</v>
      </c>
      <c r="CD20" s="610">
        <f t="shared" si="3"/>
        <v>0.77702702702702697</v>
      </c>
      <c r="CE20" s="610">
        <f t="shared" si="4"/>
        <v>0.40434782608695657</v>
      </c>
      <c r="CF20" s="610">
        <f t="shared" si="38"/>
        <v>0.15000000000000002</v>
      </c>
      <c r="CG20" s="610" t="e">
        <f t="shared" si="39"/>
        <v>#VALUE!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24.66071428571367</v>
      </c>
      <c r="E21" s="541">
        <f t="shared" ref="E21:BB21" si="40">AVERAGE(E12:E18)</f>
        <v>3.842857142857143E-2</v>
      </c>
      <c r="F21" s="541">
        <f t="shared" si="40"/>
        <v>0.15357142857142861</v>
      </c>
      <c r="G21" s="540">
        <f t="shared" si="40"/>
        <v>11.357142857142858</v>
      </c>
      <c r="H21" s="541">
        <f t="shared" si="40"/>
        <v>0.15771428571428572</v>
      </c>
      <c r="I21" s="540">
        <f t="shared" si="40"/>
        <v>4.1285714285714281</v>
      </c>
      <c r="J21" s="541">
        <f t="shared" si="40"/>
        <v>0.15071428571428575</v>
      </c>
      <c r="K21" s="541">
        <f t="shared" si="40"/>
        <v>3.3714285714285717E-2</v>
      </c>
      <c r="L21" s="541">
        <f t="shared" si="40"/>
        <v>4.9285714285714287E-2</v>
      </c>
      <c r="M21" s="540">
        <f t="shared" si="40"/>
        <v>143.14285714285714</v>
      </c>
      <c r="N21" s="540">
        <f t="shared" si="40"/>
        <v>21.857142857142858</v>
      </c>
      <c r="O21" s="540">
        <f t="shared" si="40"/>
        <v>33.842857142857142</v>
      </c>
      <c r="P21" s="540">
        <f t="shared" si="40"/>
        <v>124</v>
      </c>
      <c r="Q21" s="540">
        <f t="shared" si="40"/>
        <v>22.142857142857142</v>
      </c>
      <c r="R21" s="540">
        <f t="shared" si="40"/>
        <v>0.19999999999999998</v>
      </c>
      <c r="S21" s="540">
        <f t="shared" si="40"/>
        <v>3.8571428571428568</v>
      </c>
      <c r="T21" s="540">
        <f t="shared" si="40"/>
        <v>10.700000000000001</v>
      </c>
      <c r="U21" s="540">
        <f t="shared" si="40"/>
        <v>2.2714285714285714</v>
      </c>
      <c r="V21" s="540">
        <f t="shared" si="40"/>
        <v>5.742857142857142</v>
      </c>
      <c r="W21" s="540">
        <f t="shared" si="40"/>
        <v>134.71428571428572</v>
      </c>
      <c r="X21" s="540">
        <f t="shared" si="40"/>
        <v>0.13</v>
      </c>
      <c r="Y21" s="540">
        <f t="shared" si="40"/>
        <v>3.7571428571428567</v>
      </c>
      <c r="Z21" s="540">
        <f t="shared" si="40"/>
        <v>3.0857142857142859</v>
      </c>
      <c r="AA21" s="540">
        <f t="shared" si="40"/>
        <v>27.142857142857142</v>
      </c>
      <c r="AB21" s="540">
        <f t="shared" si="40"/>
        <v>1.6085714285714285</v>
      </c>
      <c r="AC21" s="541">
        <f t="shared" si="40"/>
        <v>2.1857142857142859</v>
      </c>
      <c r="AD21" s="541">
        <f t="shared" si="40"/>
        <v>0.45857142857142857</v>
      </c>
      <c r="AE21" s="541">
        <f t="shared" si="40"/>
        <v>1.3299999999999998</v>
      </c>
      <c r="AF21" s="541">
        <f t="shared" si="40"/>
        <v>2.0142857142857142</v>
      </c>
      <c r="AG21" s="541">
        <f t="shared" si="40"/>
        <v>0.17428571428571429</v>
      </c>
      <c r="AH21" s="541">
        <f t="shared" si="40"/>
        <v>2.7142857142857144</v>
      </c>
      <c r="AI21" s="541">
        <f t="shared" si="40"/>
        <v>0.17285714285714285</v>
      </c>
      <c r="AJ21" s="541">
        <f t="shared" si="40"/>
        <v>0.105</v>
      </c>
      <c r="AK21" s="541">
        <f t="shared" si="40"/>
        <v>0.13</v>
      </c>
      <c r="AL21" s="541">
        <f t="shared" si="40"/>
        <v>6.5000000000000002E-2</v>
      </c>
      <c r="AM21" s="541">
        <f t="shared" si="40"/>
        <v>0.70000000000000007</v>
      </c>
      <c r="AN21" s="541">
        <f t="shared" si="40"/>
        <v>7.4999999999999997E-2</v>
      </c>
      <c r="AO21" s="541">
        <f t="shared" si="40"/>
        <v>0.16500000000000001</v>
      </c>
      <c r="AP21" s="541">
        <f t="shared" si="40"/>
        <v>10.12857142857143</v>
      </c>
      <c r="AQ21" s="541" t="e">
        <f t="shared" si="40"/>
        <v>#DIV/0!</v>
      </c>
      <c r="AR21" s="540">
        <f t="shared" si="40"/>
        <v>1.95E-2</v>
      </c>
      <c r="AS21" s="540">
        <f t="shared" si="40"/>
        <v>1.6428571428571426</v>
      </c>
      <c r="AT21" s="540">
        <f t="shared" si="40"/>
        <v>0.63714285714285712</v>
      </c>
      <c r="AU21" s="540">
        <f t="shared" si="40"/>
        <v>0.29714285714285715</v>
      </c>
      <c r="AV21" s="540">
        <f t="shared" si="40"/>
        <v>1.4857142857142858</v>
      </c>
      <c r="AW21" s="540">
        <f t="shared" si="40"/>
        <v>2.3285714285714287</v>
      </c>
      <c r="AX21" s="540">
        <f t="shared" si="40"/>
        <v>0.52142857142857146</v>
      </c>
      <c r="AY21" s="540">
        <f t="shared" si="40"/>
        <v>1.1499999999999998E-2</v>
      </c>
      <c r="AZ21" s="540">
        <f t="shared" si="40"/>
        <v>4.0571428571428569</v>
      </c>
      <c r="BA21" s="540">
        <f t="shared" si="40"/>
        <v>1.357142857142857</v>
      </c>
      <c r="BB21" s="540">
        <f t="shared" si="40"/>
        <v>2.3285714285714287</v>
      </c>
      <c r="CD21" s="691">
        <f>AVERAGE(CD12:CD18)</f>
        <v>0.74809252235857338</v>
      </c>
      <c r="CE21" s="691">
        <f>AVERAGE(CE12:CE18)</f>
        <v>0.5751143960156645</v>
      </c>
      <c r="CF21" s="691">
        <f>AVERAGE(CF12:CF18)</f>
        <v>0.84285714285714286</v>
      </c>
      <c r="CG21" s="691">
        <f>AVERAGE(CG12:CG18)</f>
        <v>0.53292857142857142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21.902243589742941</v>
      </c>
      <c r="E22" s="545">
        <f t="shared" ref="E22:BB22" si="41">AVERAGE(E7:E20)</f>
        <v>4.5777777777777778E-2</v>
      </c>
      <c r="F22" s="545">
        <f t="shared" si="41"/>
        <v>0.27625000000000005</v>
      </c>
      <c r="G22" s="544">
        <f t="shared" si="41"/>
        <v>9.2538461538461529</v>
      </c>
      <c r="H22" s="545">
        <f t="shared" si="41"/>
        <v>0.14953846153846156</v>
      </c>
      <c r="I22" s="544">
        <f t="shared" si="41"/>
        <v>3.4607692307692308</v>
      </c>
      <c r="J22" s="545">
        <f t="shared" si="41"/>
        <v>0.1392846153846154</v>
      </c>
      <c r="K22" s="545">
        <f t="shared" si="41"/>
        <v>3.4363636363636367E-2</v>
      </c>
      <c r="L22" s="545">
        <f t="shared" si="41"/>
        <v>4.9333333333333333E-2</v>
      </c>
      <c r="M22" s="544">
        <f t="shared" si="41"/>
        <v>132.30769230769232</v>
      </c>
      <c r="N22" s="544">
        <f t="shared" si="41"/>
        <v>22.676923076923078</v>
      </c>
      <c r="O22" s="544">
        <f t="shared" si="41"/>
        <v>39.223076923076924</v>
      </c>
      <c r="P22" s="544">
        <f t="shared" si="41"/>
        <v>113.84615384615384</v>
      </c>
      <c r="Q22" s="544">
        <f t="shared" si="41"/>
        <v>25.272727272727273</v>
      </c>
      <c r="R22" s="544">
        <f t="shared" si="41"/>
        <v>0.19999999999999998</v>
      </c>
      <c r="S22" s="544">
        <f t="shared" si="41"/>
        <v>4.0538461538461537</v>
      </c>
      <c r="T22" s="544">
        <f t="shared" si="41"/>
        <v>9.8307692307692314</v>
      </c>
      <c r="U22" s="544">
        <f t="shared" si="41"/>
        <v>3.3199999999999994</v>
      </c>
      <c r="V22" s="544">
        <f t="shared" si="41"/>
        <v>5.5538461538461537</v>
      </c>
      <c r="W22" s="544">
        <f t="shared" si="41"/>
        <v>141.76923076923077</v>
      </c>
      <c r="X22" s="544">
        <f t="shared" si="41"/>
        <v>0.13</v>
      </c>
      <c r="Y22" s="544">
        <f t="shared" si="41"/>
        <v>3.430769230769231</v>
      </c>
      <c r="Z22" s="544">
        <f t="shared" si="41"/>
        <v>3</v>
      </c>
      <c r="AA22" s="544">
        <f t="shared" si="41"/>
        <v>23.930769230769233</v>
      </c>
      <c r="AB22" s="544">
        <f t="shared" si="41"/>
        <v>1.4025000000000001</v>
      </c>
      <c r="AC22" s="545">
        <f t="shared" si="41"/>
        <v>1.8953846153846152</v>
      </c>
      <c r="AD22" s="545">
        <f t="shared" si="41"/>
        <v>0.41415384615384621</v>
      </c>
      <c r="AE22" s="545">
        <f t="shared" si="41"/>
        <v>1.6241666666666668</v>
      </c>
      <c r="AF22" s="545">
        <f t="shared" si="41"/>
        <v>2.0261538461538464</v>
      </c>
      <c r="AG22" s="545">
        <f t="shared" si="41"/>
        <v>0.17428571428571429</v>
      </c>
      <c r="AH22" s="545">
        <f t="shared" si="41"/>
        <v>2.6330769230769229</v>
      </c>
      <c r="AI22" s="545">
        <f t="shared" si="41"/>
        <v>0.19833333333333333</v>
      </c>
      <c r="AJ22" s="545">
        <f t="shared" si="41"/>
        <v>0.105</v>
      </c>
      <c r="AK22" s="545">
        <f t="shared" si="41"/>
        <v>0.13</v>
      </c>
      <c r="AL22" s="545">
        <f t="shared" si="41"/>
        <v>6.5000000000000002E-2</v>
      </c>
      <c r="AM22" s="545">
        <f t="shared" si="41"/>
        <v>0.70000000000000007</v>
      </c>
      <c r="AN22" s="545">
        <f t="shared" si="41"/>
        <v>7.4999999999999997E-2</v>
      </c>
      <c r="AO22" s="545">
        <f t="shared" si="41"/>
        <v>0.16500000000000001</v>
      </c>
      <c r="AP22" s="545">
        <f t="shared" si="41"/>
        <v>8.4669230769230772</v>
      </c>
      <c r="AQ22" s="545" t="e">
        <f t="shared" si="41"/>
        <v>#DIV/0!</v>
      </c>
      <c r="AR22" s="544">
        <f t="shared" si="41"/>
        <v>1.95E-2</v>
      </c>
      <c r="AS22" s="544">
        <f t="shared" si="41"/>
        <v>1.630769230769231</v>
      </c>
      <c r="AT22" s="544">
        <f t="shared" si="41"/>
        <v>0.63307692307692309</v>
      </c>
      <c r="AU22" s="544">
        <f t="shared" si="41"/>
        <v>0.30076923076923079</v>
      </c>
      <c r="AV22" s="544">
        <f t="shared" si="41"/>
        <v>1.5623076923076924</v>
      </c>
      <c r="AW22" s="544">
        <f t="shared" si="41"/>
        <v>2.2876923076923075</v>
      </c>
      <c r="AX22" s="544">
        <f t="shared" si="41"/>
        <v>0.52769230769230768</v>
      </c>
      <c r="AY22" s="544">
        <f t="shared" si="41"/>
        <v>1.4312499999999997E-2</v>
      </c>
      <c r="AZ22" s="544">
        <f t="shared" si="41"/>
        <v>4.115384615384615</v>
      </c>
      <c r="BA22" s="544">
        <f t="shared" si="41"/>
        <v>1.2453846153846155</v>
      </c>
      <c r="BB22" s="544">
        <f t="shared" si="41"/>
        <v>2.3638461538461537</v>
      </c>
      <c r="CD22" s="691" t="e">
        <f>AVERAGE(CD7:CD20)</f>
        <v>#VALUE!</v>
      </c>
      <c r="CE22" s="691" t="e">
        <f>AVERAGE(CE7:CE20)</f>
        <v>#VALUE!</v>
      </c>
      <c r="CF22" s="691" t="e">
        <f>AVERAGE(CF7:CF20)</f>
        <v>#VALUE!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30">
        <v>4.2999999999999997E-2</v>
      </c>
      <c r="F23" s="29">
        <v>4.9000000000000002E-2</v>
      </c>
      <c r="G23" s="29">
        <v>0.55000000000000004</v>
      </c>
      <c r="H23" s="30">
        <v>4.4000000000000003E-3</v>
      </c>
      <c r="I23" s="29">
        <v>6.0999999999999999E-2</v>
      </c>
      <c r="J23" s="29">
        <v>3.8999999999999998E-3</v>
      </c>
      <c r="K23" s="29">
        <v>7.9000000000000008E-3</v>
      </c>
      <c r="L23" s="26">
        <v>1.2E-2</v>
      </c>
      <c r="M23" s="30">
        <v>1.7</v>
      </c>
      <c r="N23" s="29">
        <v>4.0999999999999996</v>
      </c>
      <c r="O23" s="29">
        <v>4.3</v>
      </c>
      <c r="P23" s="29">
        <v>3.1</v>
      </c>
      <c r="Q23" s="29">
        <v>10</v>
      </c>
      <c r="R23" s="421">
        <v>0.4</v>
      </c>
      <c r="S23" s="29">
        <v>1.2</v>
      </c>
      <c r="T23" s="422">
        <v>3.4000000000000002E-2</v>
      </c>
      <c r="U23" s="29">
        <v>1.8</v>
      </c>
      <c r="V23" s="29">
        <v>0.13</v>
      </c>
      <c r="W23" s="29">
        <v>4.7</v>
      </c>
      <c r="X23" s="29">
        <v>0.26</v>
      </c>
      <c r="Y23" s="423">
        <v>1</v>
      </c>
      <c r="Z23" s="29">
        <v>0.88</v>
      </c>
      <c r="AA23" s="29">
        <v>0.94</v>
      </c>
      <c r="AB23" s="29">
        <v>0.17</v>
      </c>
      <c r="AC23" s="29">
        <v>0.14000000000000001</v>
      </c>
      <c r="AD23" s="29">
        <v>1.4E-2</v>
      </c>
      <c r="AE23" s="29">
        <v>0.45</v>
      </c>
      <c r="AF23" s="29">
        <v>0.13</v>
      </c>
      <c r="AG23" s="29">
        <v>0.26</v>
      </c>
      <c r="AH23" s="29">
        <v>0.13</v>
      </c>
      <c r="AI23" s="29">
        <v>0.13</v>
      </c>
      <c r="AJ23" s="29">
        <v>0.21</v>
      </c>
      <c r="AK23" s="29">
        <v>0.26</v>
      </c>
      <c r="AL23" s="27">
        <v>0.13</v>
      </c>
      <c r="AM23" s="58">
        <v>1.4</v>
      </c>
      <c r="AN23" s="58">
        <v>0.15</v>
      </c>
      <c r="AO23" s="58">
        <v>0.33</v>
      </c>
      <c r="AP23" s="59">
        <v>0.25</v>
      </c>
      <c r="AQ23" s="60"/>
      <c r="AR23" s="424">
        <v>3.857503215534544E-2</v>
      </c>
      <c r="AS23" s="30">
        <v>4.1018494974313806E-2</v>
      </c>
      <c r="AT23" s="425">
        <v>3.4609200427791718E-2</v>
      </c>
      <c r="AU23" s="30">
        <v>2.7671656247673492E-2</v>
      </c>
      <c r="AV23" s="426">
        <v>9.5423173436605946E-2</v>
      </c>
      <c r="AW23" s="422">
        <v>2.4669593756703388E-2</v>
      </c>
      <c r="AX23" s="427">
        <v>5.8606909807007161E-2</v>
      </c>
      <c r="AY23" s="427">
        <v>2.300020585961543E-2</v>
      </c>
      <c r="AZ23" s="27"/>
      <c r="BA23" s="27"/>
      <c r="BB23" s="26">
        <v>0.11</v>
      </c>
    </row>
    <row r="24" spans="2:85" ht="20.149999999999999" customHeight="1" x14ac:dyDescent="0.2">
      <c r="B24" s="692" t="s">
        <v>95</v>
      </c>
      <c r="C24" s="693"/>
      <c r="D24" s="61"/>
      <c r="E24" s="56">
        <v>0.14000000000000001</v>
      </c>
      <c r="F24" s="55">
        <v>0.16</v>
      </c>
      <c r="G24" s="55">
        <v>1.8</v>
      </c>
      <c r="H24" s="56">
        <v>1.4999999999999999E-2</v>
      </c>
      <c r="I24" s="428">
        <v>0.2</v>
      </c>
      <c r="J24" s="55">
        <v>1.2999999999999999E-2</v>
      </c>
      <c r="K24" s="55">
        <v>2.5999999999999999E-2</v>
      </c>
      <c r="L24" s="52">
        <v>3.9E-2</v>
      </c>
      <c r="M24" s="56">
        <v>5.7</v>
      </c>
      <c r="N24" s="55">
        <v>14</v>
      </c>
      <c r="O24" s="55">
        <v>14</v>
      </c>
      <c r="P24" s="55">
        <v>10</v>
      </c>
      <c r="Q24" s="55">
        <v>35</v>
      </c>
      <c r="R24" s="55">
        <v>1.3</v>
      </c>
      <c r="S24" s="55">
        <v>3.9</v>
      </c>
      <c r="T24" s="55">
        <v>0.11</v>
      </c>
      <c r="U24" s="55">
        <v>5.9</v>
      </c>
      <c r="V24" s="55">
        <v>0.44</v>
      </c>
      <c r="W24" s="55">
        <v>16</v>
      </c>
      <c r="X24" s="55">
        <v>0.85</v>
      </c>
      <c r="Y24" s="55">
        <v>3.4</v>
      </c>
      <c r="Z24" s="55">
        <v>2.9</v>
      </c>
      <c r="AA24" s="55">
        <v>3.1</v>
      </c>
      <c r="AB24" s="55">
        <v>0.56000000000000005</v>
      </c>
      <c r="AC24" s="55">
        <v>0.48</v>
      </c>
      <c r="AD24" s="55">
        <v>4.8000000000000001E-2</v>
      </c>
      <c r="AE24" s="55">
        <v>1.5</v>
      </c>
      <c r="AF24" s="55">
        <v>0.43</v>
      </c>
      <c r="AG24" s="55">
        <v>0.88</v>
      </c>
      <c r="AH24" s="55">
        <v>0.45</v>
      </c>
      <c r="AI24" s="55">
        <v>0.44</v>
      </c>
      <c r="AJ24" s="55">
        <v>0.71</v>
      </c>
      <c r="AK24" s="55">
        <v>0.88</v>
      </c>
      <c r="AL24" s="53">
        <v>0.45</v>
      </c>
      <c r="AM24" s="53">
        <v>4.7</v>
      </c>
      <c r="AN24" s="53">
        <v>0.5</v>
      </c>
      <c r="AO24" s="53">
        <v>1.1000000000000001</v>
      </c>
      <c r="AP24" s="55">
        <v>0.82</v>
      </c>
      <c r="AQ24" s="52"/>
      <c r="AR24" s="429">
        <v>0.12858344051781814</v>
      </c>
      <c r="AS24" s="430">
        <v>0.13672831658104601</v>
      </c>
      <c r="AT24" s="430">
        <v>0.11536400142597238</v>
      </c>
      <c r="AU24" s="431">
        <v>9.2238854158911629E-2</v>
      </c>
      <c r="AV24" s="432">
        <v>0.31807724478868654</v>
      </c>
      <c r="AW24" s="433">
        <v>8.2231979189011276E-2</v>
      </c>
      <c r="AX24" s="434">
        <v>0.19535636602335724</v>
      </c>
      <c r="AY24" s="435">
        <v>7.6667352865384772E-2</v>
      </c>
      <c r="AZ24" s="53"/>
      <c r="BA24" s="53"/>
      <c r="BB24" s="52">
        <v>0.37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55" priority="6" stopIfTrue="1" operator="notBetween">
      <formula>0.8</formula>
      <formula>1.2</formula>
    </cfRule>
  </conditionalFormatting>
  <conditionalFormatting sqref="BC7:BD20">
    <cfRule type="cellIs" dxfId="54" priority="5" stopIfTrue="1" operator="notBetween">
      <formula>0.9</formula>
      <formula>1.1</formula>
    </cfRule>
  </conditionalFormatting>
  <conditionalFormatting sqref="BP7:BP20">
    <cfRule type="cellIs" dxfId="53" priority="3" stopIfTrue="1" operator="notBetween">
      <formula>0.8</formula>
      <formula>1.2</formula>
    </cfRule>
  </conditionalFormatting>
  <conditionalFormatting sqref="CF7:CF20">
    <cfRule type="cellIs" dxfId="52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252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4.5999999999999996</v>
      </c>
      <c r="E7" s="28">
        <v>0.08</v>
      </c>
      <c r="F7" s="29">
        <v>0.15</v>
      </c>
      <c r="G7" s="29">
        <v>1.4</v>
      </c>
      <c r="H7" s="30">
        <v>0.21</v>
      </c>
      <c r="I7" s="29">
        <v>0.37</v>
      </c>
      <c r="J7" s="29">
        <v>2.3E-2</v>
      </c>
      <c r="K7" s="29">
        <v>2.5999999999999999E-2</v>
      </c>
      <c r="L7" s="26">
        <v>7.0000000000000007E-2</v>
      </c>
      <c r="M7" s="28">
        <v>190</v>
      </c>
      <c r="N7" s="29">
        <v>15</v>
      </c>
      <c r="O7" s="29">
        <v>30</v>
      </c>
      <c r="P7" s="29">
        <v>30</v>
      </c>
      <c r="Q7" s="29">
        <v>20</v>
      </c>
      <c r="R7" s="29" t="s">
        <v>253</v>
      </c>
      <c r="S7" s="29">
        <v>1.7</v>
      </c>
      <c r="T7" s="29">
        <v>2.5</v>
      </c>
      <c r="U7" s="29">
        <v>0.6</v>
      </c>
      <c r="V7" s="29">
        <v>1.5</v>
      </c>
      <c r="W7" s="29">
        <v>46</v>
      </c>
      <c r="X7" s="29">
        <v>6.0000000000000005E-2</v>
      </c>
      <c r="Y7" s="29">
        <v>0.7</v>
      </c>
      <c r="Z7" s="29">
        <v>2.2000000000000002</v>
      </c>
      <c r="AA7" s="29">
        <v>4.5999999999999996</v>
      </c>
      <c r="AB7" s="29" t="s">
        <v>254</v>
      </c>
      <c r="AC7" s="29">
        <v>0.12000000000000001</v>
      </c>
      <c r="AD7" s="29" t="s">
        <v>255</v>
      </c>
      <c r="AE7" s="29">
        <v>0.17</v>
      </c>
      <c r="AF7" s="29">
        <v>0.24000000000000002</v>
      </c>
      <c r="AG7" s="29" t="s">
        <v>253</v>
      </c>
      <c r="AH7" s="29">
        <v>1.7</v>
      </c>
      <c r="AI7" s="29" t="s">
        <v>256</v>
      </c>
      <c r="AJ7" s="29">
        <v>0.08</v>
      </c>
      <c r="AK7" s="29" t="s">
        <v>257</v>
      </c>
      <c r="AL7" s="27" t="s">
        <v>258</v>
      </c>
      <c r="AM7" s="27" t="s">
        <v>257</v>
      </c>
      <c r="AN7" s="27" t="s">
        <v>259</v>
      </c>
      <c r="AO7" s="27" t="s">
        <v>253</v>
      </c>
      <c r="AP7" s="29">
        <v>0.7</v>
      </c>
      <c r="AQ7" s="26"/>
      <c r="AR7" s="28" t="s">
        <v>260</v>
      </c>
      <c r="AS7" s="28" t="s">
        <v>260</v>
      </c>
      <c r="AT7" s="30" t="s">
        <v>260</v>
      </c>
      <c r="AU7" s="30" t="s">
        <v>260</v>
      </c>
      <c r="AV7" s="30" t="s">
        <v>253</v>
      </c>
      <c r="AW7" s="30">
        <v>0.19</v>
      </c>
      <c r="AX7" s="29">
        <v>0.28000000000000003</v>
      </c>
      <c r="AY7" s="27" t="s">
        <v>253</v>
      </c>
      <c r="AZ7" s="27" t="s">
        <v>260</v>
      </c>
      <c r="BA7" s="27">
        <v>0.49</v>
      </c>
      <c r="BB7" s="26"/>
      <c r="BC7" s="619" t="e">
        <f>SUM(AR7:AV7)/AZ7</f>
        <v>#VALUE!</v>
      </c>
      <c r="BD7" s="610" t="e">
        <f>(SUM(AW7:AY7)-AV7)/BA7</f>
        <v>#VALUE!</v>
      </c>
      <c r="BF7" s="610">
        <f>E7/35.5</f>
        <v>2.2535211267605635E-3</v>
      </c>
      <c r="BG7" s="610">
        <f>F7/62</f>
        <v>2.4193548387096775E-3</v>
      </c>
      <c r="BH7" s="610">
        <f>G7/(96/2)</f>
        <v>2.9166666666666664E-2</v>
      </c>
      <c r="BI7" s="610">
        <f>H7/23</f>
        <v>9.1304347826086946E-3</v>
      </c>
      <c r="BJ7" s="610">
        <f>I7/18</f>
        <v>2.0555555555555556E-2</v>
      </c>
      <c r="BK7" s="610">
        <f>J7/39</f>
        <v>5.8974358974358979E-4</v>
      </c>
      <c r="BL7" s="610">
        <f>K7/(24.3/2)</f>
        <v>2.1399176954732509E-3</v>
      </c>
      <c r="BM7" s="610">
        <f>L7/(40/2)</f>
        <v>3.5000000000000005E-3</v>
      </c>
      <c r="BN7" s="563">
        <f>SUM(BF7:BH7)*1000</f>
        <v>33.839542632136904</v>
      </c>
      <c r="BO7" s="563">
        <f>SUM(BI7:BM7)*1000</f>
        <v>35.915651623381095</v>
      </c>
      <c r="BP7" s="611">
        <f>BN7/BO7</f>
        <v>0.94219486776921946</v>
      </c>
      <c r="BR7" s="564">
        <f>1.375*G7</f>
        <v>1.9249999999999998</v>
      </c>
      <c r="BS7" s="564">
        <f>1.29*F7</f>
        <v>0.19350000000000001</v>
      </c>
      <c r="BT7" s="564">
        <f>2.5*H7</f>
        <v>0.52500000000000002</v>
      </c>
      <c r="BU7" s="564" t="e">
        <f>1.6*AZ7</f>
        <v>#VALUE!</v>
      </c>
      <c r="BV7" s="564">
        <f>BA7</f>
        <v>0.49</v>
      </c>
      <c r="BW7" s="564">
        <f>9.19/1000*N7</f>
        <v>0.13785</v>
      </c>
      <c r="BX7" s="564">
        <f t="shared" ref="BX7:BX20" si="0">Q7/1000*1.4</f>
        <v>2.7999999999999997E-2</v>
      </c>
      <c r="BY7" s="564">
        <f>W7/1000*1.38</f>
        <v>6.3479999999999995E-2</v>
      </c>
      <c r="BZ7" s="564">
        <f>S7/1000*1.67</f>
        <v>2.8389999999999995E-3</v>
      </c>
      <c r="CA7" s="564" t="e">
        <f>SUM(BR7:BZ7)</f>
        <v>#VALUE!</v>
      </c>
      <c r="CB7" s="611" t="e">
        <f>CA7/D7</f>
        <v>#VALUE!</v>
      </c>
      <c r="CD7" s="610" t="e">
        <f>AZ7/(AZ7+BA7)</f>
        <v>#VALUE!</v>
      </c>
      <c r="CE7" s="610" t="e">
        <f>BB7/AZ7</f>
        <v>#VALUE!</v>
      </c>
      <c r="CF7" s="610" t="e">
        <f t="shared" ref="CF7:CF12" si="1">IF(AW7-AV7&gt;0,AW7-AV7,0)</f>
        <v>#VALUE!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33">
        <v>8.1999999999999993</v>
      </c>
      <c r="E8" s="34">
        <v>0.04</v>
      </c>
      <c r="F8" s="35">
        <v>0.26</v>
      </c>
      <c r="G8" s="35">
        <v>1.6</v>
      </c>
      <c r="H8" s="36">
        <v>0.17</v>
      </c>
      <c r="I8" s="35">
        <v>0.43</v>
      </c>
      <c r="J8" s="35">
        <v>5.5E-2</v>
      </c>
      <c r="K8" s="35">
        <v>2.1999999999999999E-2</v>
      </c>
      <c r="L8" s="32">
        <v>0.11</v>
      </c>
      <c r="M8" s="34">
        <v>210</v>
      </c>
      <c r="N8" s="35">
        <v>30</v>
      </c>
      <c r="O8" s="35">
        <v>30</v>
      </c>
      <c r="P8" s="35">
        <v>70</v>
      </c>
      <c r="Q8" s="35">
        <v>40</v>
      </c>
      <c r="R8" s="35" t="s">
        <v>253</v>
      </c>
      <c r="S8" s="35">
        <v>2</v>
      </c>
      <c r="T8" s="35">
        <v>10</v>
      </c>
      <c r="U8" s="35">
        <v>1</v>
      </c>
      <c r="V8" s="35">
        <v>6.4</v>
      </c>
      <c r="W8" s="35">
        <v>130</v>
      </c>
      <c r="X8" s="35">
        <v>0.05</v>
      </c>
      <c r="Y8" s="35">
        <v>3.2</v>
      </c>
      <c r="Z8" s="35">
        <v>4.5</v>
      </c>
      <c r="AA8" s="35">
        <v>32</v>
      </c>
      <c r="AB8" s="35">
        <v>0.3</v>
      </c>
      <c r="AC8" s="35">
        <v>0.4</v>
      </c>
      <c r="AD8" s="35">
        <v>0.19</v>
      </c>
      <c r="AE8" s="35">
        <v>4.5999999999999996</v>
      </c>
      <c r="AF8" s="35">
        <v>0.85</v>
      </c>
      <c r="AG8" s="35" t="s">
        <v>253</v>
      </c>
      <c r="AH8" s="35">
        <v>4.5999999999999996</v>
      </c>
      <c r="AI8" s="35">
        <v>0.17</v>
      </c>
      <c r="AJ8" s="35">
        <v>0.25999999999999995</v>
      </c>
      <c r="AK8" s="35" t="s">
        <v>257</v>
      </c>
      <c r="AL8" s="33" t="s">
        <v>258</v>
      </c>
      <c r="AM8" s="33">
        <v>0.3</v>
      </c>
      <c r="AN8" s="33" t="s">
        <v>259</v>
      </c>
      <c r="AO8" s="33" t="s">
        <v>253</v>
      </c>
      <c r="AP8" s="35">
        <v>4.4000000000000004</v>
      </c>
      <c r="AQ8" s="32"/>
      <c r="AR8" s="34" t="s">
        <v>260</v>
      </c>
      <c r="AS8" s="34" t="s">
        <v>260</v>
      </c>
      <c r="AT8" s="36" t="s">
        <v>260</v>
      </c>
      <c r="AU8" s="36" t="s">
        <v>260</v>
      </c>
      <c r="AV8" s="36">
        <v>0.11</v>
      </c>
      <c r="AW8" s="36">
        <v>0.91</v>
      </c>
      <c r="AX8" s="35">
        <v>0.37</v>
      </c>
      <c r="AY8" s="33" t="s">
        <v>253</v>
      </c>
      <c r="AZ8" s="33">
        <v>1.8</v>
      </c>
      <c r="BA8" s="33">
        <v>1.2</v>
      </c>
      <c r="BB8" s="32"/>
      <c r="BC8" s="619">
        <f t="shared" ref="BC8:BC20" si="3">SUM(AR8:AV8)/AZ8</f>
        <v>6.1111111111111109E-2</v>
      </c>
      <c r="BD8" s="610">
        <f t="shared" ref="BD8:BD20" si="4">(SUM(AW8:AY8)-AV8)/BA8</f>
        <v>0.97499999999999998</v>
      </c>
      <c r="BF8" s="610">
        <f t="shared" ref="BF8:BF20" si="5">E8/35.5</f>
        <v>1.1267605633802818E-3</v>
      </c>
      <c r="BG8" s="610">
        <f t="shared" ref="BG8:BG20" si="6">F8/62</f>
        <v>4.193548387096774E-3</v>
      </c>
      <c r="BH8" s="610">
        <f t="shared" ref="BH8:BH20" si="7">G8/(96/2)</f>
        <v>3.3333333333333333E-2</v>
      </c>
      <c r="BI8" s="610">
        <f t="shared" ref="BI8:BI20" si="8">H8/23</f>
        <v>7.3913043478260878E-3</v>
      </c>
      <c r="BJ8" s="610">
        <f t="shared" ref="BJ8:BJ20" si="9">I8/18</f>
        <v>2.388888888888889E-2</v>
      </c>
      <c r="BK8" s="610">
        <f t="shared" ref="BK8:BK20" si="10">J8/39</f>
        <v>1.4102564102564104E-3</v>
      </c>
      <c r="BL8" s="610">
        <f t="shared" ref="BL8:BL20" si="11">K8/(24.3/2)</f>
        <v>1.810699588477366E-3</v>
      </c>
      <c r="BM8" s="610">
        <f t="shared" ref="BM8:BM20" si="12">L8/(40/2)</f>
        <v>5.4999999999999997E-3</v>
      </c>
      <c r="BN8" s="563">
        <f t="shared" ref="BN8:BN20" si="13">SUM(BF8:BH8)*1000</f>
        <v>38.653642283810385</v>
      </c>
      <c r="BO8" s="563">
        <f t="shared" ref="BO8:BO20" si="14">SUM(BI8:BM8)*1000</f>
        <v>40.00114923544875</v>
      </c>
      <c r="BP8" s="611">
        <f t="shared" ref="BP8:BP20" si="15">BN8/BO8</f>
        <v>0.96631329405795641</v>
      </c>
      <c r="BR8" s="564">
        <f t="shared" ref="BR8:BR20" si="16">1.375*G8</f>
        <v>2.2000000000000002</v>
      </c>
      <c r="BS8" s="564">
        <f t="shared" ref="BS8:BS20" si="17">1.29*F8</f>
        <v>0.33540000000000003</v>
      </c>
      <c r="BT8" s="564">
        <f t="shared" ref="BT8:BT20" si="18">2.5*H8</f>
        <v>0.42500000000000004</v>
      </c>
      <c r="BU8" s="564">
        <f t="shared" ref="BU8:BU20" si="19">1.6*AZ8</f>
        <v>2.8800000000000003</v>
      </c>
      <c r="BV8" s="564">
        <f t="shared" ref="BV8:BV20" si="20">BA8</f>
        <v>1.2</v>
      </c>
      <c r="BW8" s="564">
        <f t="shared" ref="BW8:BW20" si="21">9.19/1000*N8</f>
        <v>0.2757</v>
      </c>
      <c r="BX8" s="564">
        <f t="shared" si="0"/>
        <v>5.5999999999999994E-2</v>
      </c>
      <c r="BY8" s="564">
        <f t="shared" ref="BY8:BY20" si="22">W8/1000*1.38</f>
        <v>0.1794</v>
      </c>
      <c r="BZ8" s="564">
        <f t="shared" ref="BZ8:BZ20" si="23">S8/1000*1.67</f>
        <v>3.3400000000000001E-3</v>
      </c>
      <c r="CA8" s="564">
        <f t="shared" ref="CA8:CA20" si="24">SUM(BR8:BZ8)</f>
        <v>7.5548400000000004</v>
      </c>
      <c r="CB8" s="611">
        <f t="shared" ref="CB8:CB20" si="25">CA8/D8</f>
        <v>0.92132195121951233</v>
      </c>
      <c r="CD8" s="610">
        <f t="shared" ref="CD8:CD20" si="26">AZ8/(AZ8+BA8)</f>
        <v>0.6</v>
      </c>
      <c r="CE8" s="610">
        <f t="shared" ref="CE8:CE20" si="27">BB8/AZ8</f>
        <v>0</v>
      </c>
      <c r="CF8" s="610">
        <f t="shared" si="1"/>
        <v>0.8</v>
      </c>
      <c r="CG8" s="610" t="e">
        <f t="shared" si="2"/>
        <v>#VALUE!</v>
      </c>
    </row>
    <row r="9" spans="2:85" ht="20.149999999999999" customHeight="1" x14ac:dyDescent="0.2">
      <c r="B9" s="31" t="s">
        <v>61</v>
      </c>
      <c r="C9" s="37" t="s">
        <v>200</v>
      </c>
      <c r="D9" s="33">
        <v>22.6</v>
      </c>
      <c r="E9" s="34">
        <v>0.02</v>
      </c>
      <c r="F9" s="35">
        <v>0.49</v>
      </c>
      <c r="G9" s="35">
        <v>2.2999999999999998</v>
      </c>
      <c r="H9" s="36">
        <v>3.9E-2</v>
      </c>
      <c r="I9" s="35">
        <v>0.89</v>
      </c>
      <c r="J9" s="35">
        <v>4.7E-2</v>
      </c>
      <c r="K9" s="35">
        <v>7.0000000000000001E-3</v>
      </c>
      <c r="L9" s="32">
        <v>1.7000000000000001E-2</v>
      </c>
      <c r="M9" s="34">
        <v>120</v>
      </c>
      <c r="N9" s="35">
        <v>40</v>
      </c>
      <c r="O9" s="35">
        <v>60</v>
      </c>
      <c r="P9" s="35">
        <v>140</v>
      </c>
      <c r="Q9" s="35">
        <v>40</v>
      </c>
      <c r="R9" s="35" t="s">
        <v>253</v>
      </c>
      <c r="S9" s="35">
        <v>4</v>
      </c>
      <c r="T9" s="35">
        <v>11</v>
      </c>
      <c r="U9" s="35">
        <v>2</v>
      </c>
      <c r="V9" s="35">
        <v>11</v>
      </c>
      <c r="W9" s="35">
        <v>180</v>
      </c>
      <c r="X9" s="35">
        <v>0.1</v>
      </c>
      <c r="Y9" s="35">
        <v>3.8</v>
      </c>
      <c r="Z9" s="35">
        <v>7</v>
      </c>
      <c r="AA9" s="35">
        <v>52</v>
      </c>
      <c r="AB9" s="35">
        <v>0.8</v>
      </c>
      <c r="AC9" s="35">
        <v>1.7</v>
      </c>
      <c r="AD9" s="35">
        <v>0.27</v>
      </c>
      <c r="AE9" s="35">
        <v>1.7</v>
      </c>
      <c r="AF9" s="35">
        <v>1.8</v>
      </c>
      <c r="AG9" s="35">
        <v>0.04</v>
      </c>
      <c r="AH9" s="35">
        <v>6.6</v>
      </c>
      <c r="AI9" s="35">
        <v>0.3</v>
      </c>
      <c r="AJ9" s="35">
        <v>0.3</v>
      </c>
      <c r="AK9" s="35" t="s">
        <v>257</v>
      </c>
      <c r="AL9" s="33" t="s">
        <v>258</v>
      </c>
      <c r="AM9" s="33">
        <v>0.3</v>
      </c>
      <c r="AN9" s="33" t="s">
        <v>259</v>
      </c>
      <c r="AO9" s="33" t="s">
        <v>253</v>
      </c>
      <c r="AP9" s="35">
        <v>8.4</v>
      </c>
      <c r="AQ9" s="32"/>
      <c r="AR9" s="34" t="s">
        <v>260</v>
      </c>
      <c r="AS9" s="34">
        <v>1.3</v>
      </c>
      <c r="AT9" s="36">
        <v>1</v>
      </c>
      <c r="AU9" s="36" t="s">
        <v>260</v>
      </c>
      <c r="AV9" s="36">
        <v>0.7</v>
      </c>
      <c r="AW9" s="36">
        <v>2.1</v>
      </c>
      <c r="AX9" s="35">
        <v>0.78</v>
      </c>
      <c r="AY9" s="33">
        <v>0.05</v>
      </c>
      <c r="AZ9" s="33">
        <v>4</v>
      </c>
      <c r="BA9" s="33">
        <v>2.2000000000000002</v>
      </c>
      <c r="BB9" s="32"/>
      <c r="BC9" s="619">
        <f t="shared" si="3"/>
        <v>0.75</v>
      </c>
      <c r="BD9" s="610">
        <f t="shared" si="4"/>
        <v>1.0136363636363634</v>
      </c>
      <c r="BF9" s="610">
        <f t="shared" si="5"/>
        <v>5.6338028169014088E-4</v>
      </c>
      <c r="BG9" s="610">
        <f t="shared" si="6"/>
        <v>7.9032258064516119E-3</v>
      </c>
      <c r="BH9" s="610">
        <f t="shared" si="7"/>
        <v>4.7916666666666663E-2</v>
      </c>
      <c r="BI9" s="610">
        <f t="shared" si="8"/>
        <v>1.6956521739130434E-3</v>
      </c>
      <c r="BJ9" s="610">
        <f t="shared" si="9"/>
        <v>4.9444444444444444E-2</v>
      </c>
      <c r="BK9" s="610">
        <f t="shared" si="10"/>
        <v>1.2051282051282052E-3</v>
      </c>
      <c r="BL9" s="610">
        <f t="shared" si="11"/>
        <v>5.7613168724279839E-4</v>
      </c>
      <c r="BM9" s="610">
        <f t="shared" si="12"/>
        <v>8.5000000000000006E-4</v>
      </c>
      <c r="BN9" s="563">
        <f t="shared" si="13"/>
        <v>56.383272754808416</v>
      </c>
      <c r="BO9" s="563">
        <f t="shared" si="14"/>
        <v>53.771356510728495</v>
      </c>
      <c r="BP9" s="611">
        <f t="shared" si="15"/>
        <v>1.0485744904642453</v>
      </c>
      <c r="BR9" s="564">
        <f t="shared" si="16"/>
        <v>3.1624999999999996</v>
      </c>
      <c r="BS9" s="564">
        <f t="shared" si="17"/>
        <v>0.6321</v>
      </c>
      <c r="BT9" s="564">
        <f t="shared" si="18"/>
        <v>9.7500000000000003E-2</v>
      </c>
      <c r="BU9" s="564">
        <f t="shared" si="19"/>
        <v>6.4</v>
      </c>
      <c r="BV9" s="564">
        <f t="shared" si="20"/>
        <v>2.2000000000000002</v>
      </c>
      <c r="BW9" s="564">
        <f t="shared" si="21"/>
        <v>0.36760000000000004</v>
      </c>
      <c r="BX9" s="564">
        <f t="shared" si="0"/>
        <v>5.5999999999999994E-2</v>
      </c>
      <c r="BY9" s="564">
        <f t="shared" si="22"/>
        <v>0.24839999999999998</v>
      </c>
      <c r="BZ9" s="564">
        <f t="shared" si="23"/>
        <v>6.6800000000000002E-3</v>
      </c>
      <c r="CA9" s="564">
        <f t="shared" si="24"/>
        <v>13.170779999999999</v>
      </c>
      <c r="CB9" s="611">
        <f t="shared" si="25"/>
        <v>0.58277787610619458</v>
      </c>
      <c r="CD9" s="610">
        <f t="shared" si="26"/>
        <v>0.64516129032258063</v>
      </c>
      <c r="CE9" s="610">
        <f t="shared" si="27"/>
        <v>0</v>
      </c>
      <c r="CF9" s="610">
        <f t="shared" si="1"/>
        <v>1.4000000000000001</v>
      </c>
      <c r="CG9" s="610">
        <f t="shared" si="2"/>
        <v>0.83000000000000007</v>
      </c>
    </row>
    <row r="10" spans="2:85" ht="20.149999999999999" customHeight="1" x14ac:dyDescent="0.2">
      <c r="B10" s="31" t="s">
        <v>61</v>
      </c>
      <c r="C10" s="32" t="s">
        <v>82</v>
      </c>
      <c r="D10" s="33">
        <v>27.6</v>
      </c>
      <c r="E10" s="34">
        <v>0.03</v>
      </c>
      <c r="F10" s="35">
        <v>0.65</v>
      </c>
      <c r="G10" s="35">
        <v>4.9000000000000004</v>
      </c>
      <c r="H10" s="36">
        <v>0.26</v>
      </c>
      <c r="I10" s="35">
        <v>1.6</v>
      </c>
      <c r="J10" s="35">
        <v>0.13</v>
      </c>
      <c r="K10" s="35">
        <v>3.7999999999999999E-2</v>
      </c>
      <c r="L10" s="32">
        <v>0.04</v>
      </c>
      <c r="M10" s="34">
        <v>430</v>
      </c>
      <c r="N10" s="35">
        <v>50</v>
      </c>
      <c r="O10" s="35">
        <v>60</v>
      </c>
      <c r="P10" s="35">
        <v>210</v>
      </c>
      <c r="Q10" s="35">
        <v>60</v>
      </c>
      <c r="R10" s="35" t="s">
        <v>253</v>
      </c>
      <c r="S10" s="35">
        <v>5</v>
      </c>
      <c r="T10" s="35">
        <v>30</v>
      </c>
      <c r="U10" s="35">
        <v>3</v>
      </c>
      <c r="V10" s="35">
        <v>13</v>
      </c>
      <c r="W10" s="35">
        <v>310</v>
      </c>
      <c r="X10" s="35">
        <v>0.1</v>
      </c>
      <c r="Y10" s="35">
        <v>10</v>
      </c>
      <c r="Z10" s="35">
        <v>9.7999999999999989</v>
      </c>
      <c r="AA10" s="35">
        <v>71</v>
      </c>
      <c r="AB10" s="35">
        <v>0.9</v>
      </c>
      <c r="AC10" s="35">
        <v>1.9</v>
      </c>
      <c r="AD10" s="35">
        <v>0.4</v>
      </c>
      <c r="AE10" s="35">
        <v>2</v>
      </c>
      <c r="AF10" s="35">
        <v>2.4</v>
      </c>
      <c r="AG10" s="35">
        <v>0.05</v>
      </c>
      <c r="AH10" s="35">
        <v>15</v>
      </c>
      <c r="AI10" s="35">
        <v>0.9</v>
      </c>
      <c r="AJ10" s="35">
        <v>0.94</v>
      </c>
      <c r="AK10" s="35">
        <v>0.1</v>
      </c>
      <c r="AL10" s="33" t="s">
        <v>258</v>
      </c>
      <c r="AM10" s="33">
        <v>0.8</v>
      </c>
      <c r="AN10" s="33" t="s">
        <v>259</v>
      </c>
      <c r="AO10" s="33" t="s">
        <v>253</v>
      </c>
      <c r="AP10" s="35">
        <v>12</v>
      </c>
      <c r="AQ10" s="32"/>
      <c r="AR10" s="34" t="s">
        <v>260</v>
      </c>
      <c r="AS10" s="34">
        <v>1.5</v>
      </c>
      <c r="AT10" s="36">
        <v>1.1000000000000001</v>
      </c>
      <c r="AU10" s="36" t="s">
        <v>260</v>
      </c>
      <c r="AV10" s="36">
        <v>1.1000000000000001</v>
      </c>
      <c r="AW10" s="36">
        <v>2.5</v>
      </c>
      <c r="AX10" s="35">
        <v>0.44</v>
      </c>
      <c r="AY10" s="33" t="s">
        <v>253</v>
      </c>
      <c r="AZ10" s="33">
        <v>5</v>
      </c>
      <c r="BA10" s="33">
        <v>1.9</v>
      </c>
      <c r="BB10" s="32"/>
      <c r="BC10" s="619">
        <f t="shared" si="3"/>
        <v>0.74</v>
      </c>
      <c r="BD10" s="610">
        <f t="shared" si="4"/>
        <v>0.96842105263157896</v>
      </c>
      <c r="BF10" s="610">
        <f t="shared" si="5"/>
        <v>8.450704225352112E-4</v>
      </c>
      <c r="BG10" s="610">
        <f t="shared" si="6"/>
        <v>1.0483870967741936E-2</v>
      </c>
      <c r="BH10" s="610">
        <f t="shared" si="7"/>
        <v>0.10208333333333335</v>
      </c>
      <c r="BI10" s="610">
        <f t="shared" si="8"/>
        <v>1.1304347826086957E-2</v>
      </c>
      <c r="BJ10" s="610">
        <f t="shared" si="9"/>
        <v>8.8888888888888892E-2</v>
      </c>
      <c r="BK10" s="610">
        <f t="shared" si="10"/>
        <v>3.3333333333333335E-3</v>
      </c>
      <c r="BL10" s="610">
        <f t="shared" si="11"/>
        <v>3.127572016460905E-3</v>
      </c>
      <c r="BM10" s="610">
        <f t="shared" si="12"/>
        <v>2E-3</v>
      </c>
      <c r="BN10" s="563">
        <f t="shared" si="13"/>
        <v>113.41227472361049</v>
      </c>
      <c r="BO10" s="563">
        <f t="shared" si="14"/>
        <v>108.65414206477008</v>
      </c>
      <c r="BP10" s="611">
        <f t="shared" si="15"/>
        <v>1.0437915441456804</v>
      </c>
      <c r="BR10" s="564">
        <f t="shared" si="16"/>
        <v>6.7375000000000007</v>
      </c>
      <c r="BS10" s="564">
        <f t="shared" si="17"/>
        <v>0.83850000000000002</v>
      </c>
      <c r="BT10" s="564">
        <f t="shared" si="18"/>
        <v>0.65</v>
      </c>
      <c r="BU10" s="564">
        <f t="shared" si="19"/>
        <v>8</v>
      </c>
      <c r="BV10" s="564">
        <f t="shared" si="20"/>
        <v>1.9</v>
      </c>
      <c r="BW10" s="564">
        <f t="shared" si="21"/>
        <v>0.45950000000000002</v>
      </c>
      <c r="BX10" s="564">
        <f t="shared" si="0"/>
        <v>8.3999999999999991E-2</v>
      </c>
      <c r="BY10" s="564">
        <f t="shared" si="22"/>
        <v>0.42779999999999996</v>
      </c>
      <c r="BZ10" s="564">
        <f t="shared" si="23"/>
        <v>8.3499999999999998E-3</v>
      </c>
      <c r="CA10" s="564">
        <f t="shared" si="24"/>
        <v>19.105649999999997</v>
      </c>
      <c r="CB10" s="611">
        <f t="shared" si="25"/>
        <v>0.69223369565217374</v>
      </c>
      <c r="CD10" s="610">
        <f t="shared" si="26"/>
        <v>0.72463768115942029</v>
      </c>
      <c r="CE10" s="610">
        <f t="shared" si="27"/>
        <v>0</v>
      </c>
      <c r="CF10" s="610">
        <f t="shared" si="1"/>
        <v>1.4</v>
      </c>
      <c r="CG10" s="610" t="e">
        <f t="shared" si="2"/>
        <v>#VALUE!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35.299999999999997</v>
      </c>
      <c r="E11" s="42">
        <v>0.02</v>
      </c>
      <c r="F11" s="43">
        <v>0.44</v>
      </c>
      <c r="G11" s="43">
        <v>11</v>
      </c>
      <c r="H11" s="44">
        <v>0.24</v>
      </c>
      <c r="I11" s="43">
        <v>3.9</v>
      </c>
      <c r="J11" s="43">
        <v>0.18</v>
      </c>
      <c r="K11" s="43">
        <v>3.4000000000000002E-2</v>
      </c>
      <c r="L11" s="45">
        <v>0.04</v>
      </c>
      <c r="M11" s="42">
        <v>260</v>
      </c>
      <c r="N11" s="43">
        <v>40</v>
      </c>
      <c r="O11" s="43">
        <v>60</v>
      </c>
      <c r="P11" s="43">
        <v>170</v>
      </c>
      <c r="Q11" s="43">
        <v>40</v>
      </c>
      <c r="R11" s="43" t="s">
        <v>253</v>
      </c>
      <c r="S11" s="43">
        <v>3</v>
      </c>
      <c r="T11" s="43">
        <v>13</v>
      </c>
      <c r="U11" s="43">
        <v>3</v>
      </c>
      <c r="V11" s="43">
        <v>6.8999999999999995</v>
      </c>
      <c r="W11" s="43">
        <v>200</v>
      </c>
      <c r="X11" s="43">
        <v>0.1</v>
      </c>
      <c r="Y11" s="43">
        <v>4.8</v>
      </c>
      <c r="Z11" s="43">
        <v>15</v>
      </c>
      <c r="AA11" s="43">
        <v>48</v>
      </c>
      <c r="AB11" s="43">
        <v>0.7</v>
      </c>
      <c r="AC11" s="43">
        <v>2.2999999999999998</v>
      </c>
      <c r="AD11" s="43">
        <v>0.4</v>
      </c>
      <c r="AE11" s="43">
        <v>1.6</v>
      </c>
      <c r="AF11" s="43">
        <v>1.5</v>
      </c>
      <c r="AG11" s="43">
        <v>6.0000000000000005E-2</v>
      </c>
      <c r="AH11" s="43">
        <v>8.6</v>
      </c>
      <c r="AI11" s="43">
        <v>0.8</v>
      </c>
      <c r="AJ11" s="43">
        <v>0.24000000000000002</v>
      </c>
      <c r="AK11" s="43" t="s">
        <v>257</v>
      </c>
      <c r="AL11" s="41" t="s">
        <v>258</v>
      </c>
      <c r="AM11" s="41">
        <v>0.6</v>
      </c>
      <c r="AN11" s="41" t="s">
        <v>259</v>
      </c>
      <c r="AO11" s="41" t="s">
        <v>253</v>
      </c>
      <c r="AP11" s="43">
        <v>7.9</v>
      </c>
      <c r="AQ11" s="45"/>
      <c r="AR11" s="42" t="s">
        <v>260</v>
      </c>
      <c r="AS11" s="42">
        <v>2.2000000000000002</v>
      </c>
      <c r="AT11" s="44">
        <v>1.2</v>
      </c>
      <c r="AU11" s="44">
        <v>1.2</v>
      </c>
      <c r="AV11" s="44">
        <v>1.5</v>
      </c>
      <c r="AW11" s="44">
        <v>2.7</v>
      </c>
      <c r="AX11" s="43">
        <v>0.53</v>
      </c>
      <c r="AY11" s="41">
        <v>0.04</v>
      </c>
      <c r="AZ11" s="41">
        <v>6</v>
      </c>
      <c r="BA11" s="41">
        <v>1.8</v>
      </c>
      <c r="BB11" s="45"/>
      <c r="BC11" s="620">
        <f t="shared" si="3"/>
        <v>1.0166666666666668</v>
      </c>
      <c r="BD11" s="617">
        <f t="shared" si="4"/>
        <v>0.98333333333333361</v>
      </c>
      <c r="BE11" s="616"/>
      <c r="BF11" s="617">
        <f t="shared" si="5"/>
        <v>5.6338028169014088E-4</v>
      </c>
      <c r="BG11" s="617">
        <f t="shared" si="6"/>
        <v>7.0967741935483875E-3</v>
      </c>
      <c r="BH11" s="617">
        <f t="shared" si="7"/>
        <v>0.22916666666666666</v>
      </c>
      <c r="BI11" s="617">
        <f t="shared" si="8"/>
        <v>1.0434782608695651E-2</v>
      </c>
      <c r="BJ11" s="617">
        <f t="shared" si="9"/>
        <v>0.21666666666666667</v>
      </c>
      <c r="BK11" s="617">
        <f t="shared" si="10"/>
        <v>4.6153846153846149E-3</v>
      </c>
      <c r="BL11" s="617">
        <f t="shared" si="11"/>
        <v>2.7983539094650206E-3</v>
      </c>
      <c r="BM11" s="617">
        <f t="shared" si="12"/>
        <v>2E-3</v>
      </c>
      <c r="BN11" s="621">
        <f t="shared" si="13"/>
        <v>236.82682114190519</v>
      </c>
      <c r="BO11" s="621">
        <f t="shared" si="14"/>
        <v>236.51518780021198</v>
      </c>
      <c r="BP11" s="618">
        <f t="shared" si="15"/>
        <v>1.0013176039331413</v>
      </c>
      <c r="BQ11" s="616"/>
      <c r="BR11" s="615">
        <f t="shared" si="16"/>
        <v>15.125</v>
      </c>
      <c r="BS11" s="615">
        <f t="shared" si="17"/>
        <v>0.56759999999999999</v>
      </c>
      <c r="BT11" s="615">
        <f t="shared" si="18"/>
        <v>0.6</v>
      </c>
      <c r="BU11" s="615">
        <f t="shared" si="19"/>
        <v>9.6000000000000014</v>
      </c>
      <c r="BV11" s="615">
        <f t="shared" si="20"/>
        <v>1.8</v>
      </c>
      <c r="BW11" s="615">
        <f t="shared" si="21"/>
        <v>0.36760000000000004</v>
      </c>
      <c r="BX11" s="615">
        <f t="shared" si="0"/>
        <v>5.5999999999999994E-2</v>
      </c>
      <c r="BY11" s="615">
        <f t="shared" si="22"/>
        <v>0.27599999999999997</v>
      </c>
      <c r="BZ11" s="615">
        <f t="shared" si="23"/>
        <v>5.0099999999999997E-3</v>
      </c>
      <c r="CA11" s="615">
        <f t="shared" si="24"/>
        <v>28.397210000000001</v>
      </c>
      <c r="CB11" s="618">
        <f t="shared" si="25"/>
        <v>0.80445354107648737</v>
      </c>
      <c r="CC11" s="617"/>
      <c r="CD11" s="617">
        <f t="shared" si="26"/>
        <v>0.76923076923076927</v>
      </c>
      <c r="CE11" s="617">
        <f t="shared" si="27"/>
        <v>0</v>
      </c>
      <c r="CF11" s="617">
        <f t="shared" si="1"/>
        <v>1.2000000000000002</v>
      </c>
      <c r="CG11" s="617">
        <f t="shared" si="2"/>
        <v>0.57000000000000006</v>
      </c>
    </row>
    <row r="12" spans="2:85" ht="20.149999999999999" customHeight="1" x14ac:dyDescent="0.2">
      <c r="B12" s="31" t="s">
        <v>202</v>
      </c>
      <c r="C12" s="46" t="s">
        <v>203</v>
      </c>
      <c r="D12" s="47">
        <v>19.8</v>
      </c>
      <c r="E12" s="48">
        <v>0.21</v>
      </c>
      <c r="F12" s="49">
        <v>0.27</v>
      </c>
      <c r="G12" s="49">
        <v>5.0999999999999996</v>
      </c>
      <c r="H12" s="50">
        <v>0.3</v>
      </c>
      <c r="I12" s="49">
        <v>1.7</v>
      </c>
      <c r="J12" s="49">
        <v>6.7000000000000004E-2</v>
      </c>
      <c r="K12" s="49">
        <v>3.5000000000000003E-2</v>
      </c>
      <c r="L12" s="37">
        <v>0.04</v>
      </c>
      <c r="M12" s="48">
        <v>520</v>
      </c>
      <c r="N12" s="49">
        <v>26</v>
      </c>
      <c r="O12" s="49">
        <v>50</v>
      </c>
      <c r="P12" s="49">
        <v>100</v>
      </c>
      <c r="Q12" s="49">
        <v>50</v>
      </c>
      <c r="R12" s="625">
        <f t="shared" ref="R12:R18" si="28">0.5*0.03</f>
        <v>1.4999999999999999E-2</v>
      </c>
      <c r="S12" s="49">
        <v>3</v>
      </c>
      <c r="T12" s="49">
        <v>15</v>
      </c>
      <c r="U12" s="49">
        <v>1</v>
      </c>
      <c r="V12" s="49">
        <v>6.6</v>
      </c>
      <c r="W12" s="49">
        <v>160</v>
      </c>
      <c r="X12" s="49">
        <v>6.0000000000000005E-2</v>
      </c>
      <c r="Y12" s="49">
        <v>5</v>
      </c>
      <c r="Z12" s="49">
        <v>3.4</v>
      </c>
      <c r="AA12" s="49">
        <v>42</v>
      </c>
      <c r="AB12" s="49">
        <v>0.7</v>
      </c>
      <c r="AC12" s="49">
        <v>1.2</v>
      </c>
      <c r="AD12" s="49">
        <v>0.2</v>
      </c>
      <c r="AE12" s="49">
        <v>1.3</v>
      </c>
      <c r="AF12" s="49">
        <v>0.75</v>
      </c>
      <c r="AG12" s="625">
        <f>0.5*0.03</f>
        <v>1.4999999999999999E-2</v>
      </c>
      <c r="AH12" s="49">
        <v>4.5</v>
      </c>
      <c r="AI12" s="49">
        <v>0.2</v>
      </c>
      <c r="AJ12" s="49">
        <v>0.17</v>
      </c>
      <c r="AK12" s="625">
        <f t="shared" ref="AK12:AK18" si="29">0.5*0.04</f>
        <v>0.02</v>
      </c>
      <c r="AL12" s="627">
        <f t="shared" ref="AL12:AL18" si="30">0.5*0.07</f>
        <v>3.5000000000000003E-2</v>
      </c>
      <c r="AM12" s="47">
        <v>0.3</v>
      </c>
      <c r="AN12" s="627">
        <f t="shared" ref="AN12:AN18" si="31">0.5*0.02</f>
        <v>0.01</v>
      </c>
      <c r="AO12" s="627">
        <f t="shared" ref="AO12:AO18" si="32">0.5*0.03</f>
        <v>1.4999999999999999E-2</v>
      </c>
      <c r="AP12" s="49">
        <v>5.6</v>
      </c>
      <c r="AQ12" s="37"/>
      <c r="AR12" s="630">
        <f t="shared" ref="AR12:AR18" si="33">0.5*0.9</f>
        <v>0.45</v>
      </c>
      <c r="AS12" s="48">
        <v>1.1000000000000001</v>
      </c>
      <c r="AT12" s="663">
        <f t="shared" ref="AT12:AU18" si="34">0.5*0.9</f>
        <v>0.45</v>
      </c>
      <c r="AU12" s="663">
        <f t="shared" si="34"/>
        <v>0.45</v>
      </c>
      <c r="AV12" s="50">
        <v>0.82</v>
      </c>
      <c r="AW12" s="50">
        <v>1.5</v>
      </c>
      <c r="AX12" s="49">
        <v>0.69</v>
      </c>
      <c r="AY12" s="47">
        <v>0.1</v>
      </c>
      <c r="AZ12" s="47">
        <v>3</v>
      </c>
      <c r="BA12" s="47">
        <v>1.5</v>
      </c>
      <c r="BB12" s="37"/>
      <c r="BC12" s="619">
        <f t="shared" si="3"/>
        <v>1.0900000000000001</v>
      </c>
      <c r="BD12" s="610">
        <f t="shared" si="4"/>
        <v>0.98000000000000009</v>
      </c>
      <c r="BF12" s="610">
        <f t="shared" si="5"/>
        <v>5.915492957746479E-3</v>
      </c>
      <c r="BG12" s="610">
        <f t="shared" si="6"/>
        <v>4.3548387096774199E-3</v>
      </c>
      <c r="BH12" s="610">
        <f t="shared" si="7"/>
        <v>0.10625</v>
      </c>
      <c r="BI12" s="610">
        <f t="shared" si="8"/>
        <v>1.3043478260869565E-2</v>
      </c>
      <c r="BJ12" s="610">
        <f t="shared" si="9"/>
        <v>9.4444444444444442E-2</v>
      </c>
      <c r="BK12" s="610">
        <f t="shared" si="10"/>
        <v>1.717948717948718E-3</v>
      </c>
      <c r="BL12" s="610">
        <f t="shared" si="11"/>
        <v>2.8806584362139919E-3</v>
      </c>
      <c r="BM12" s="610">
        <f t="shared" si="12"/>
        <v>2E-3</v>
      </c>
      <c r="BN12" s="563">
        <f t="shared" si="13"/>
        <v>116.5203316674239</v>
      </c>
      <c r="BO12" s="563">
        <f t="shared" si="14"/>
        <v>114.0865298594767</v>
      </c>
      <c r="BP12" s="611">
        <f t="shared" si="15"/>
        <v>1.0213329462377809</v>
      </c>
      <c r="BR12" s="564">
        <f t="shared" si="16"/>
        <v>7.0124999999999993</v>
      </c>
      <c r="BS12" s="564">
        <f t="shared" si="17"/>
        <v>0.34830000000000005</v>
      </c>
      <c r="BT12" s="564">
        <f t="shared" si="18"/>
        <v>0.75</v>
      </c>
      <c r="BU12" s="564">
        <f t="shared" si="19"/>
        <v>4.8000000000000007</v>
      </c>
      <c r="BV12" s="564">
        <f t="shared" si="20"/>
        <v>1.5</v>
      </c>
      <c r="BW12" s="564">
        <f t="shared" si="21"/>
        <v>0.23894000000000001</v>
      </c>
      <c r="BX12" s="564">
        <f t="shared" si="0"/>
        <v>6.9999999999999993E-2</v>
      </c>
      <c r="BY12" s="564">
        <f t="shared" si="22"/>
        <v>0.2208</v>
      </c>
      <c r="BZ12" s="564">
        <f t="shared" si="23"/>
        <v>5.0099999999999997E-3</v>
      </c>
      <c r="CA12" s="564">
        <f t="shared" si="24"/>
        <v>14.945550000000001</v>
      </c>
      <c r="CB12" s="611">
        <f t="shared" si="25"/>
        <v>0.75482575757575754</v>
      </c>
      <c r="CC12" s="610"/>
      <c r="CD12" s="610">
        <f t="shared" si="26"/>
        <v>0.66666666666666663</v>
      </c>
      <c r="CE12" s="610">
        <f t="shared" si="27"/>
        <v>0</v>
      </c>
      <c r="CF12" s="610">
        <f t="shared" si="1"/>
        <v>0.68</v>
      </c>
      <c r="CG12" s="610">
        <f t="shared" si="2"/>
        <v>0.78999999999999992</v>
      </c>
    </row>
    <row r="13" spans="2:85" ht="20.149999999999999" customHeight="1" x14ac:dyDescent="0.2">
      <c r="B13" s="31" t="s">
        <v>202</v>
      </c>
      <c r="C13" s="40" t="s">
        <v>204</v>
      </c>
      <c r="D13" s="33">
        <v>27.4</v>
      </c>
      <c r="E13" s="34">
        <v>0.12</v>
      </c>
      <c r="F13" s="35">
        <v>0.17</v>
      </c>
      <c r="G13" s="35">
        <v>6.1</v>
      </c>
      <c r="H13" s="36">
        <v>0.15</v>
      </c>
      <c r="I13" s="35">
        <v>2.2000000000000002</v>
      </c>
      <c r="J13" s="35">
        <v>7.1999999999999995E-2</v>
      </c>
      <c r="K13" s="35">
        <v>1.9E-2</v>
      </c>
      <c r="L13" s="32">
        <v>0.03</v>
      </c>
      <c r="M13" s="34">
        <v>300</v>
      </c>
      <c r="N13" s="35">
        <v>29</v>
      </c>
      <c r="O13" s="35">
        <v>60</v>
      </c>
      <c r="P13" s="35">
        <v>120</v>
      </c>
      <c r="Q13" s="35">
        <v>30</v>
      </c>
      <c r="R13" s="624">
        <f t="shared" si="28"/>
        <v>1.4999999999999999E-2</v>
      </c>
      <c r="S13" s="35">
        <v>2</v>
      </c>
      <c r="T13" s="35">
        <v>7</v>
      </c>
      <c r="U13" s="35">
        <v>2</v>
      </c>
      <c r="V13" s="35">
        <v>9.4</v>
      </c>
      <c r="W13" s="35">
        <v>110</v>
      </c>
      <c r="X13" s="35">
        <v>6.0000000000000005E-2</v>
      </c>
      <c r="Y13" s="35">
        <v>2.6</v>
      </c>
      <c r="Z13" s="35">
        <v>4.7</v>
      </c>
      <c r="AA13" s="35">
        <v>37</v>
      </c>
      <c r="AB13" s="35">
        <v>1.5</v>
      </c>
      <c r="AC13" s="35">
        <v>1.3</v>
      </c>
      <c r="AD13" s="35">
        <v>0.24000000000000002</v>
      </c>
      <c r="AE13" s="35">
        <v>0.8</v>
      </c>
      <c r="AF13" s="35">
        <v>1.7</v>
      </c>
      <c r="AG13" s="624">
        <f>0.5*0.03</f>
        <v>1.4999999999999999E-2</v>
      </c>
      <c r="AH13" s="35">
        <v>4</v>
      </c>
      <c r="AI13" s="35">
        <v>0.2</v>
      </c>
      <c r="AJ13" s="35">
        <v>0.12999999999999998</v>
      </c>
      <c r="AK13" s="624">
        <f t="shared" si="29"/>
        <v>0.02</v>
      </c>
      <c r="AL13" s="628">
        <f t="shared" si="30"/>
        <v>3.5000000000000003E-2</v>
      </c>
      <c r="AM13" s="33">
        <v>0.3</v>
      </c>
      <c r="AN13" s="628">
        <f t="shared" si="31"/>
        <v>0.01</v>
      </c>
      <c r="AO13" s="628">
        <f t="shared" si="32"/>
        <v>1.4999999999999999E-2</v>
      </c>
      <c r="AP13" s="35">
        <v>8.5</v>
      </c>
      <c r="AQ13" s="32"/>
      <c r="AR13" s="623">
        <f t="shared" si="33"/>
        <v>0.45</v>
      </c>
      <c r="AS13" s="34">
        <v>1.1000000000000001</v>
      </c>
      <c r="AT13" s="646">
        <f t="shared" si="34"/>
        <v>0.45</v>
      </c>
      <c r="AU13" s="646">
        <f t="shared" si="34"/>
        <v>0.45</v>
      </c>
      <c r="AV13" s="36">
        <v>1.1000000000000001</v>
      </c>
      <c r="AW13" s="36">
        <v>1.8</v>
      </c>
      <c r="AX13" s="35">
        <v>0.81</v>
      </c>
      <c r="AY13" s="33">
        <v>0.04</v>
      </c>
      <c r="AZ13" s="33">
        <v>3</v>
      </c>
      <c r="BA13" s="33">
        <v>1.6</v>
      </c>
      <c r="BB13" s="32"/>
      <c r="BC13" s="619">
        <f t="shared" si="3"/>
        <v>1.1833333333333333</v>
      </c>
      <c r="BD13" s="610">
        <f t="shared" si="4"/>
        <v>0.96875000000000011</v>
      </c>
      <c r="BF13" s="610">
        <f t="shared" si="5"/>
        <v>3.3802816901408448E-3</v>
      </c>
      <c r="BG13" s="610">
        <f t="shared" si="6"/>
        <v>2.7419354838709681E-3</v>
      </c>
      <c r="BH13" s="610">
        <f t="shared" si="7"/>
        <v>0.12708333333333333</v>
      </c>
      <c r="BI13" s="610">
        <f t="shared" si="8"/>
        <v>6.5217391304347823E-3</v>
      </c>
      <c r="BJ13" s="610">
        <f t="shared" si="9"/>
        <v>0.12222222222222223</v>
      </c>
      <c r="BK13" s="610">
        <f t="shared" si="10"/>
        <v>1.8461538461538461E-3</v>
      </c>
      <c r="BL13" s="610">
        <f t="shared" si="11"/>
        <v>1.5637860082304525E-3</v>
      </c>
      <c r="BM13" s="610">
        <f t="shared" si="12"/>
        <v>1.5E-3</v>
      </c>
      <c r="BN13" s="563">
        <f t="shared" si="13"/>
        <v>133.20555050734515</v>
      </c>
      <c r="BO13" s="563">
        <f t="shared" si="14"/>
        <v>133.65390120704132</v>
      </c>
      <c r="BP13" s="611">
        <f t="shared" si="15"/>
        <v>0.99664543499555891</v>
      </c>
      <c r="BR13" s="564">
        <f t="shared" si="16"/>
        <v>8.3874999999999993</v>
      </c>
      <c r="BS13" s="564">
        <f t="shared" si="17"/>
        <v>0.21930000000000002</v>
      </c>
      <c r="BT13" s="564">
        <f t="shared" si="18"/>
        <v>0.375</v>
      </c>
      <c r="BU13" s="564">
        <f t="shared" si="19"/>
        <v>4.8000000000000007</v>
      </c>
      <c r="BV13" s="564">
        <f t="shared" si="20"/>
        <v>1.6</v>
      </c>
      <c r="BW13" s="564">
        <f t="shared" si="21"/>
        <v>0.26651000000000002</v>
      </c>
      <c r="BX13" s="564">
        <f t="shared" si="0"/>
        <v>4.1999999999999996E-2</v>
      </c>
      <c r="BY13" s="564">
        <f t="shared" si="22"/>
        <v>0.15179999999999999</v>
      </c>
      <c r="BZ13" s="564">
        <f t="shared" si="23"/>
        <v>3.3400000000000001E-3</v>
      </c>
      <c r="CA13" s="564">
        <f t="shared" si="24"/>
        <v>15.84545</v>
      </c>
      <c r="CB13" s="611">
        <f t="shared" si="25"/>
        <v>0.57830109489051096</v>
      </c>
      <c r="CC13" s="610"/>
      <c r="CD13" s="610">
        <f t="shared" si="26"/>
        <v>0.65217391304347827</v>
      </c>
      <c r="CE13" s="610">
        <f t="shared" si="27"/>
        <v>0</v>
      </c>
      <c r="CF13" s="610">
        <f t="shared" ref="CF13:CF20" si="35">IF(AW13-AV13&gt;0,AW13-AV13,0)</f>
        <v>0.7</v>
      </c>
      <c r="CG13" s="610">
        <f t="shared" ref="CG13:CG20" si="36">IF(AW13-AV13&gt;0,AX13+AY13,AW13+AX13+AY13-AV13)</f>
        <v>0.85000000000000009</v>
      </c>
    </row>
    <row r="14" spans="2:85" ht="20.149999999999999" customHeight="1" x14ac:dyDescent="0.2">
      <c r="B14" s="31" t="s">
        <v>202</v>
      </c>
      <c r="C14" s="32" t="s">
        <v>205</v>
      </c>
      <c r="D14" s="33">
        <v>21</v>
      </c>
      <c r="E14" s="34">
        <v>0.02</v>
      </c>
      <c r="F14" s="35">
        <v>0.17</v>
      </c>
      <c r="G14" s="35">
        <v>3.2</v>
      </c>
      <c r="H14" s="36">
        <v>8.3000000000000004E-2</v>
      </c>
      <c r="I14" s="35">
        <v>1</v>
      </c>
      <c r="J14" s="35">
        <v>6.7000000000000004E-2</v>
      </c>
      <c r="K14" s="35">
        <v>1.2999999999999999E-2</v>
      </c>
      <c r="L14" s="32">
        <v>0.03</v>
      </c>
      <c r="M14" s="34">
        <v>220</v>
      </c>
      <c r="N14" s="35">
        <v>30</v>
      </c>
      <c r="O14" s="35">
        <v>60</v>
      </c>
      <c r="P14" s="35">
        <v>180</v>
      </c>
      <c r="Q14" s="35">
        <v>30</v>
      </c>
      <c r="R14" s="624">
        <f t="shared" si="28"/>
        <v>1.4999999999999999E-2</v>
      </c>
      <c r="S14" s="35">
        <v>3</v>
      </c>
      <c r="T14" s="35">
        <v>6.6</v>
      </c>
      <c r="U14" s="35">
        <v>2</v>
      </c>
      <c r="V14" s="35">
        <v>6.4</v>
      </c>
      <c r="W14" s="35">
        <v>150</v>
      </c>
      <c r="X14" s="35">
        <v>6.0000000000000005E-2</v>
      </c>
      <c r="Y14" s="35">
        <v>2.8</v>
      </c>
      <c r="Z14" s="35">
        <v>5.8999999999999995</v>
      </c>
      <c r="AA14" s="35">
        <v>41</v>
      </c>
      <c r="AB14" s="35">
        <v>1</v>
      </c>
      <c r="AC14" s="35">
        <v>1.3</v>
      </c>
      <c r="AD14" s="35">
        <v>0.4</v>
      </c>
      <c r="AE14" s="35">
        <v>0.7</v>
      </c>
      <c r="AF14" s="35">
        <v>1.1000000000000001</v>
      </c>
      <c r="AG14" s="35">
        <v>0.05</v>
      </c>
      <c r="AH14" s="35">
        <v>12</v>
      </c>
      <c r="AI14" s="35">
        <v>0.2</v>
      </c>
      <c r="AJ14" s="35">
        <v>0.15</v>
      </c>
      <c r="AK14" s="624">
        <f t="shared" si="29"/>
        <v>0.02</v>
      </c>
      <c r="AL14" s="628">
        <f t="shared" si="30"/>
        <v>3.5000000000000003E-2</v>
      </c>
      <c r="AM14" s="33">
        <v>0.3</v>
      </c>
      <c r="AN14" s="628">
        <f t="shared" si="31"/>
        <v>0.01</v>
      </c>
      <c r="AO14" s="628">
        <f t="shared" si="32"/>
        <v>1.4999999999999999E-2</v>
      </c>
      <c r="AP14" s="35">
        <v>9.9</v>
      </c>
      <c r="AQ14" s="32"/>
      <c r="AR14" s="623">
        <f t="shared" si="33"/>
        <v>0.45</v>
      </c>
      <c r="AS14" s="623">
        <f>0.5*0.9</f>
        <v>0.45</v>
      </c>
      <c r="AT14" s="646">
        <f t="shared" si="34"/>
        <v>0.45</v>
      </c>
      <c r="AU14" s="646">
        <f t="shared" si="34"/>
        <v>0.45</v>
      </c>
      <c r="AV14" s="36">
        <v>0.77</v>
      </c>
      <c r="AW14" s="36">
        <v>1.5</v>
      </c>
      <c r="AX14" s="35">
        <v>0.64</v>
      </c>
      <c r="AY14" s="33">
        <v>0.04</v>
      </c>
      <c r="AZ14" s="33">
        <v>2.8</v>
      </c>
      <c r="BA14" s="33">
        <v>1.4</v>
      </c>
      <c r="BB14" s="32"/>
      <c r="BC14" s="619">
        <f t="shared" si="3"/>
        <v>0.91785714285714304</v>
      </c>
      <c r="BD14" s="610">
        <f t="shared" si="4"/>
        <v>1.0071428571428573</v>
      </c>
      <c r="BF14" s="610">
        <f t="shared" si="5"/>
        <v>5.6338028169014088E-4</v>
      </c>
      <c r="BG14" s="610">
        <f t="shared" si="6"/>
        <v>2.7419354838709681E-3</v>
      </c>
      <c r="BH14" s="610">
        <f t="shared" si="7"/>
        <v>6.6666666666666666E-2</v>
      </c>
      <c r="BI14" s="610">
        <f t="shared" si="8"/>
        <v>3.6086956521739133E-3</v>
      </c>
      <c r="BJ14" s="610">
        <f t="shared" si="9"/>
        <v>5.5555555555555552E-2</v>
      </c>
      <c r="BK14" s="610">
        <f t="shared" si="10"/>
        <v>1.717948717948718E-3</v>
      </c>
      <c r="BL14" s="610">
        <f t="shared" si="11"/>
        <v>1.0699588477366254E-3</v>
      </c>
      <c r="BM14" s="610">
        <f t="shared" si="12"/>
        <v>1.5E-3</v>
      </c>
      <c r="BN14" s="563">
        <f t="shared" si="13"/>
        <v>69.971982432227776</v>
      </c>
      <c r="BO14" s="563">
        <f t="shared" si="14"/>
        <v>63.452158773414816</v>
      </c>
      <c r="BP14" s="611">
        <f t="shared" si="15"/>
        <v>1.1027518020638982</v>
      </c>
      <c r="BR14" s="564">
        <f t="shared" si="16"/>
        <v>4.4000000000000004</v>
      </c>
      <c r="BS14" s="564">
        <f t="shared" si="17"/>
        <v>0.21930000000000002</v>
      </c>
      <c r="BT14" s="564">
        <f t="shared" si="18"/>
        <v>0.20750000000000002</v>
      </c>
      <c r="BU14" s="564">
        <f t="shared" si="19"/>
        <v>4.4799999999999995</v>
      </c>
      <c r="BV14" s="564">
        <f t="shared" si="20"/>
        <v>1.4</v>
      </c>
      <c r="BW14" s="564">
        <f t="shared" si="21"/>
        <v>0.2757</v>
      </c>
      <c r="BX14" s="564">
        <f t="shared" si="0"/>
        <v>4.1999999999999996E-2</v>
      </c>
      <c r="BY14" s="564">
        <f t="shared" si="22"/>
        <v>0.20699999999999999</v>
      </c>
      <c r="BZ14" s="564">
        <f t="shared" si="23"/>
        <v>5.0099999999999997E-3</v>
      </c>
      <c r="CA14" s="564">
        <f t="shared" si="24"/>
        <v>11.236510000000001</v>
      </c>
      <c r="CB14" s="611">
        <f t="shared" si="25"/>
        <v>0.5350719047619048</v>
      </c>
      <c r="CC14" s="610"/>
      <c r="CD14" s="610">
        <f t="shared" si="26"/>
        <v>0.66666666666666674</v>
      </c>
      <c r="CE14" s="610">
        <f t="shared" si="27"/>
        <v>0</v>
      </c>
      <c r="CF14" s="610">
        <f t="shared" si="35"/>
        <v>0.73</v>
      </c>
      <c r="CG14" s="610">
        <f t="shared" si="36"/>
        <v>0.68</v>
      </c>
    </row>
    <row r="15" spans="2:85" ht="20.149999999999999" customHeight="1" x14ac:dyDescent="0.2">
      <c r="B15" s="31" t="s">
        <v>202</v>
      </c>
      <c r="C15" s="32" t="s">
        <v>206</v>
      </c>
      <c r="D15" s="33">
        <v>25.4</v>
      </c>
      <c r="E15" s="34">
        <v>0.03</v>
      </c>
      <c r="F15" s="35">
        <v>0.26</v>
      </c>
      <c r="G15" s="35">
        <v>4</v>
      </c>
      <c r="H15" s="36">
        <v>5.8999999999999997E-2</v>
      </c>
      <c r="I15" s="35">
        <v>1.4</v>
      </c>
      <c r="J15" s="35">
        <v>4.9000000000000002E-2</v>
      </c>
      <c r="K15" s="35">
        <v>8.0000000000000002E-3</v>
      </c>
      <c r="L15" s="32">
        <v>0.02</v>
      </c>
      <c r="M15" s="34">
        <v>180</v>
      </c>
      <c r="N15" s="35">
        <v>29</v>
      </c>
      <c r="O15" s="35">
        <v>60</v>
      </c>
      <c r="P15" s="35">
        <v>140</v>
      </c>
      <c r="Q15" s="35">
        <v>40</v>
      </c>
      <c r="R15" s="624">
        <f t="shared" si="28"/>
        <v>1.4999999999999999E-2</v>
      </c>
      <c r="S15" s="35">
        <v>4</v>
      </c>
      <c r="T15" s="35">
        <v>15</v>
      </c>
      <c r="U15" s="35">
        <v>2</v>
      </c>
      <c r="V15" s="35">
        <v>9.1999999999999993</v>
      </c>
      <c r="W15" s="35">
        <v>200</v>
      </c>
      <c r="X15" s="35">
        <v>9.0000000000000011E-2</v>
      </c>
      <c r="Y15" s="35">
        <v>5.1000000000000005</v>
      </c>
      <c r="Z15" s="35">
        <v>6.3</v>
      </c>
      <c r="AA15" s="35">
        <v>46</v>
      </c>
      <c r="AB15" s="35">
        <v>1</v>
      </c>
      <c r="AC15" s="35">
        <v>1.7</v>
      </c>
      <c r="AD15" s="35">
        <v>0.3</v>
      </c>
      <c r="AE15" s="35">
        <v>1.3</v>
      </c>
      <c r="AF15" s="35">
        <v>1.6</v>
      </c>
      <c r="AG15" s="35">
        <v>0.05</v>
      </c>
      <c r="AH15" s="35">
        <v>6</v>
      </c>
      <c r="AI15" s="35">
        <v>0.4</v>
      </c>
      <c r="AJ15" s="35">
        <v>0.28999999999999998</v>
      </c>
      <c r="AK15" s="624">
        <f t="shared" si="29"/>
        <v>0.02</v>
      </c>
      <c r="AL15" s="628">
        <f t="shared" si="30"/>
        <v>3.5000000000000003E-2</v>
      </c>
      <c r="AM15" s="33">
        <v>0.3</v>
      </c>
      <c r="AN15" s="628">
        <f t="shared" si="31"/>
        <v>0.01</v>
      </c>
      <c r="AO15" s="628">
        <f t="shared" si="32"/>
        <v>1.4999999999999999E-2</v>
      </c>
      <c r="AP15" s="35">
        <v>8.9</v>
      </c>
      <c r="AQ15" s="32"/>
      <c r="AR15" s="623">
        <f t="shared" si="33"/>
        <v>0.45</v>
      </c>
      <c r="AS15" s="34">
        <v>1.2</v>
      </c>
      <c r="AT15" s="646">
        <f t="shared" si="34"/>
        <v>0.45</v>
      </c>
      <c r="AU15" s="646">
        <f t="shared" si="34"/>
        <v>0.45</v>
      </c>
      <c r="AV15" s="36">
        <v>0.91</v>
      </c>
      <c r="AW15" s="36">
        <v>1.9</v>
      </c>
      <c r="AX15" s="35">
        <v>0.81</v>
      </c>
      <c r="AY15" s="33">
        <v>0.06</v>
      </c>
      <c r="AZ15" s="33">
        <v>3</v>
      </c>
      <c r="BA15" s="33">
        <v>1.9</v>
      </c>
      <c r="BB15" s="32"/>
      <c r="BC15" s="619">
        <f t="shared" si="3"/>
        <v>1.1533333333333335</v>
      </c>
      <c r="BD15" s="610">
        <f t="shared" si="4"/>
        <v>0.97894736842105257</v>
      </c>
      <c r="BF15" s="610">
        <f t="shared" si="5"/>
        <v>8.450704225352112E-4</v>
      </c>
      <c r="BG15" s="610">
        <f t="shared" si="6"/>
        <v>4.193548387096774E-3</v>
      </c>
      <c r="BH15" s="610">
        <f t="shared" si="7"/>
        <v>8.3333333333333329E-2</v>
      </c>
      <c r="BI15" s="610">
        <f t="shared" si="8"/>
        <v>2.5652173913043477E-3</v>
      </c>
      <c r="BJ15" s="610">
        <f t="shared" si="9"/>
        <v>7.7777777777777779E-2</v>
      </c>
      <c r="BK15" s="610">
        <f t="shared" si="10"/>
        <v>1.2564102564102564E-3</v>
      </c>
      <c r="BL15" s="610">
        <f t="shared" si="11"/>
        <v>6.5843621399176949E-4</v>
      </c>
      <c r="BM15" s="610">
        <f t="shared" si="12"/>
        <v>1E-3</v>
      </c>
      <c r="BN15" s="563">
        <f t="shared" si="13"/>
        <v>88.371952142965313</v>
      </c>
      <c r="BO15" s="563">
        <f t="shared" si="14"/>
        <v>83.257841639484141</v>
      </c>
      <c r="BP15" s="611">
        <f t="shared" si="15"/>
        <v>1.0614249709429875</v>
      </c>
      <c r="BR15" s="564">
        <f t="shared" si="16"/>
        <v>5.5</v>
      </c>
      <c r="BS15" s="564">
        <f t="shared" si="17"/>
        <v>0.33540000000000003</v>
      </c>
      <c r="BT15" s="564">
        <f t="shared" si="18"/>
        <v>0.14749999999999999</v>
      </c>
      <c r="BU15" s="564">
        <f t="shared" si="19"/>
        <v>4.8000000000000007</v>
      </c>
      <c r="BV15" s="564">
        <f t="shared" si="20"/>
        <v>1.9</v>
      </c>
      <c r="BW15" s="564">
        <f t="shared" si="21"/>
        <v>0.26651000000000002</v>
      </c>
      <c r="BX15" s="564">
        <f t="shared" si="0"/>
        <v>5.5999999999999994E-2</v>
      </c>
      <c r="BY15" s="564">
        <f t="shared" si="22"/>
        <v>0.27599999999999997</v>
      </c>
      <c r="BZ15" s="564">
        <f t="shared" si="23"/>
        <v>6.6800000000000002E-3</v>
      </c>
      <c r="CA15" s="564">
        <f t="shared" si="24"/>
        <v>13.28809</v>
      </c>
      <c r="CB15" s="611">
        <f t="shared" si="25"/>
        <v>0.52315314960629922</v>
      </c>
      <c r="CC15" s="610"/>
      <c r="CD15" s="610">
        <f t="shared" si="26"/>
        <v>0.61224489795918358</v>
      </c>
      <c r="CE15" s="610">
        <f t="shared" si="27"/>
        <v>0</v>
      </c>
      <c r="CF15" s="610">
        <f t="shared" si="35"/>
        <v>0.98999999999999988</v>
      </c>
      <c r="CG15" s="610">
        <f t="shared" si="36"/>
        <v>0.87000000000000011</v>
      </c>
    </row>
    <row r="16" spans="2:85" ht="20.149999999999999" customHeight="1" x14ac:dyDescent="0.2">
      <c r="B16" s="31" t="s">
        <v>202</v>
      </c>
      <c r="C16" s="32" t="s">
        <v>207</v>
      </c>
      <c r="D16" s="33">
        <v>37</v>
      </c>
      <c r="E16" s="34">
        <v>0.05</v>
      </c>
      <c r="F16" s="35">
        <v>1.7</v>
      </c>
      <c r="G16" s="35">
        <v>13</v>
      </c>
      <c r="H16" s="36">
        <v>0.14000000000000001</v>
      </c>
      <c r="I16" s="35">
        <v>4.4000000000000004</v>
      </c>
      <c r="J16" s="35">
        <v>0.11</v>
      </c>
      <c r="K16" s="35">
        <v>1.2999999999999999E-2</v>
      </c>
      <c r="L16" s="32">
        <v>0.15</v>
      </c>
      <c r="M16" s="34">
        <v>160</v>
      </c>
      <c r="N16" s="35">
        <v>40</v>
      </c>
      <c r="O16" s="35">
        <v>90</v>
      </c>
      <c r="P16" s="35">
        <v>140</v>
      </c>
      <c r="Q16" s="35">
        <v>40</v>
      </c>
      <c r="R16" s="624">
        <f t="shared" si="28"/>
        <v>1.4999999999999999E-2</v>
      </c>
      <c r="S16" s="35">
        <v>4</v>
      </c>
      <c r="T16" s="35">
        <v>31</v>
      </c>
      <c r="U16" s="35">
        <v>2</v>
      </c>
      <c r="V16" s="35">
        <v>9.4</v>
      </c>
      <c r="W16" s="35">
        <v>190</v>
      </c>
      <c r="X16" s="35">
        <v>0.1</v>
      </c>
      <c r="Y16" s="35">
        <v>10</v>
      </c>
      <c r="Z16" s="35">
        <v>5.6</v>
      </c>
      <c r="AA16" s="35">
        <v>52</v>
      </c>
      <c r="AB16" s="35">
        <v>2</v>
      </c>
      <c r="AC16" s="35">
        <v>2.7</v>
      </c>
      <c r="AD16" s="35">
        <v>0.5</v>
      </c>
      <c r="AE16" s="35">
        <v>0.9</v>
      </c>
      <c r="AF16" s="35">
        <v>1.5</v>
      </c>
      <c r="AG16" s="35">
        <v>0.1</v>
      </c>
      <c r="AH16" s="35">
        <v>4.8</v>
      </c>
      <c r="AI16" s="35">
        <v>0.3</v>
      </c>
      <c r="AJ16" s="35">
        <v>0.27999999999999997</v>
      </c>
      <c r="AK16" s="624">
        <f t="shared" si="29"/>
        <v>0.02</v>
      </c>
      <c r="AL16" s="628">
        <f t="shared" si="30"/>
        <v>3.5000000000000003E-2</v>
      </c>
      <c r="AM16" s="33">
        <v>0.4</v>
      </c>
      <c r="AN16" s="628">
        <f t="shared" si="31"/>
        <v>0.01</v>
      </c>
      <c r="AO16" s="628">
        <f t="shared" si="32"/>
        <v>1.4999999999999999E-2</v>
      </c>
      <c r="AP16" s="35">
        <v>14</v>
      </c>
      <c r="AQ16" s="32"/>
      <c r="AR16" s="623">
        <f t="shared" si="33"/>
        <v>0.45</v>
      </c>
      <c r="AS16" s="34">
        <v>1.3</v>
      </c>
      <c r="AT16" s="646">
        <f t="shared" si="34"/>
        <v>0.45</v>
      </c>
      <c r="AU16" s="646">
        <f t="shared" si="34"/>
        <v>0.45</v>
      </c>
      <c r="AV16" s="36">
        <v>0.74</v>
      </c>
      <c r="AW16" s="36">
        <v>1.8</v>
      </c>
      <c r="AX16" s="35">
        <v>0.8</v>
      </c>
      <c r="AY16" s="33">
        <v>0.06</v>
      </c>
      <c r="AZ16" s="33">
        <v>3</v>
      </c>
      <c r="BA16" s="33">
        <v>1.9</v>
      </c>
      <c r="BB16" s="32"/>
      <c r="BC16" s="619">
        <f t="shared" si="3"/>
        <v>1.1300000000000001</v>
      </c>
      <c r="BD16" s="610">
        <f t="shared" si="4"/>
        <v>1.0105263157894737</v>
      </c>
      <c r="BF16" s="610">
        <f t="shared" si="5"/>
        <v>1.4084507042253522E-3</v>
      </c>
      <c r="BG16" s="610">
        <f t="shared" si="6"/>
        <v>2.7419354838709678E-2</v>
      </c>
      <c r="BH16" s="610">
        <f t="shared" si="7"/>
        <v>0.27083333333333331</v>
      </c>
      <c r="BI16" s="610">
        <f t="shared" si="8"/>
        <v>6.0869565217391312E-3</v>
      </c>
      <c r="BJ16" s="610">
        <f t="shared" si="9"/>
        <v>0.24444444444444446</v>
      </c>
      <c r="BK16" s="610">
        <f t="shared" si="10"/>
        <v>2.8205128205128207E-3</v>
      </c>
      <c r="BL16" s="610">
        <f t="shared" si="11"/>
        <v>1.0699588477366254E-3</v>
      </c>
      <c r="BM16" s="610">
        <f t="shared" si="12"/>
        <v>7.4999999999999997E-3</v>
      </c>
      <c r="BN16" s="563">
        <f t="shared" si="13"/>
        <v>299.66113887626835</v>
      </c>
      <c r="BO16" s="563">
        <f t="shared" si="14"/>
        <v>261.92187263443304</v>
      </c>
      <c r="BP16" s="611">
        <f t="shared" si="15"/>
        <v>1.1440859667894494</v>
      </c>
      <c r="BR16" s="564">
        <f t="shared" si="16"/>
        <v>17.875</v>
      </c>
      <c r="BS16" s="564">
        <f t="shared" si="17"/>
        <v>2.1930000000000001</v>
      </c>
      <c r="BT16" s="564">
        <f t="shared" si="18"/>
        <v>0.35000000000000003</v>
      </c>
      <c r="BU16" s="564">
        <f t="shared" si="19"/>
        <v>4.8000000000000007</v>
      </c>
      <c r="BV16" s="564">
        <f t="shared" si="20"/>
        <v>1.9</v>
      </c>
      <c r="BW16" s="564">
        <f t="shared" si="21"/>
        <v>0.36760000000000004</v>
      </c>
      <c r="BX16" s="564">
        <f t="shared" si="0"/>
        <v>5.5999999999999994E-2</v>
      </c>
      <c r="BY16" s="564">
        <f t="shared" si="22"/>
        <v>0.26219999999999999</v>
      </c>
      <c r="BZ16" s="564">
        <f t="shared" si="23"/>
        <v>6.6800000000000002E-3</v>
      </c>
      <c r="CA16" s="564">
        <f t="shared" si="24"/>
        <v>27.810480000000002</v>
      </c>
      <c r="CB16" s="611">
        <f t="shared" si="25"/>
        <v>0.7516345945945947</v>
      </c>
      <c r="CC16" s="610"/>
      <c r="CD16" s="610">
        <f t="shared" si="26"/>
        <v>0.61224489795918358</v>
      </c>
      <c r="CE16" s="610">
        <f t="shared" si="27"/>
        <v>0</v>
      </c>
      <c r="CF16" s="610">
        <f t="shared" si="35"/>
        <v>1.06</v>
      </c>
      <c r="CG16" s="610">
        <f t="shared" si="36"/>
        <v>0.8600000000000001</v>
      </c>
    </row>
    <row r="17" spans="2:85" ht="20.149999999999999" customHeight="1" x14ac:dyDescent="0.2">
      <c r="B17" s="31" t="s">
        <v>202</v>
      </c>
      <c r="C17" s="32" t="s">
        <v>208</v>
      </c>
      <c r="D17" s="33">
        <v>39.799999999999997</v>
      </c>
      <c r="E17" s="34">
        <v>0.02</v>
      </c>
      <c r="F17" s="35">
        <v>0.43</v>
      </c>
      <c r="G17" s="35">
        <v>8.6999999999999993</v>
      </c>
      <c r="H17" s="36">
        <v>6.3E-2</v>
      </c>
      <c r="I17" s="35">
        <v>3</v>
      </c>
      <c r="J17" s="35">
        <v>0.11</v>
      </c>
      <c r="K17" s="35">
        <v>1.0999999999999999E-2</v>
      </c>
      <c r="L17" s="32">
        <v>0.02</v>
      </c>
      <c r="M17" s="34">
        <v>190</v>
      </c>
      <c r="N17" s="35">
        <v>90</v>
      </c>
      <c r="O17" s="35">
        <v>120</v>
      </c>
      <c r="P17" s="35">
        <v>240</v>
      </c>
      <c r="Q17" s="35">
        <v>80</v>
      </c>
      <c r="R17" s="624">
        <f t="shared" si="28"/>
        <v>1.4999999999999999E-2</v>
      </c>
      <c r="S17" s="35">
        <v>5</v>
      </c>
      <c r="T17" s="35">
        <v>36</v>
      </c>
      <c r="U17" s="35">
        <v>2</v>
      </c>
      <c r="V17" s="35">
        <v>11</v>
      </c>
      <c r="W17" s="35">
        <v>220</v>
      </c>
      <c r="X17" s="35">
        <v>0.2</v>
      </c>
      <c r="Y17" s="35">
        <v>12</v>
      </c>
      <c r="Z17" s="35">
        <v>8.9</v>
      </c>
      <c r="AA17" s="35">
        <v>72</v>
      </c>
      <c r="AB17" s="35">
        <v>2.9</v>
      </c>
      <c r="AC17" s="35">
        <v>3.1</v>
      </c>
      <c r="AD17" s="35">
        <v>0.7</v>
      </c>
      <c r="AE17" s="35">
        <v>1.1000000000000001</v>
      </c>
      <c r="AF17" s="35">
        <v>2.2999999999999998</v>
      </c>
      <c r="AG17" s="35">
        <v>0.1</v>
      </c>
      <c r="AH17" s="35">
        <v>9.2999999999999989</v>
      </c>
      <c r="AI17" s="35">
        <v>0.3</v>
      </c>
      <c r="AJ17" s="35">
        <v>0.42000000000000004</v>
      </c>
      <c r="AK17" s="624">
        <f t="shared" si="29"/>
        <v>0.02</v>
      </c>
      <c r="AL17" s="628">
        <f t="shared" si="30"/>
        <v>3.5000000000000003E-2</v>
      </c>
      <c r="AM17" s="33">
        <v>0.4</v>
      </c>
      <c r="AN17" s="628">
        <f t="shared" si="31"/>
        <v>0.01</v>
      </c>
      <c r="AO17" s="628">
        <f t="shared" si="32"/>
        <v>1.4999999999999999E-2</v>
      </c>
      <c r="AP17" s="35">
        <v>19</v>
      </c>
      <c r="AQ17" s="32"/>
      <c r="AR17" s="623">
        <f t="shared" si="33"/>
        <v>0.45</v>
      </c>
      <c r="AS17" s="34">
        <v>1.4</v>
      </c>
      <c r="AT17" s="646">
        <f t="shared" si="34"/>
        <v>0.45</v>
      </c>
      <c r="AU17" s="646">
        <f t="shared" si="34"/>
        <v>0.45</v>
      </c>
      <c r="AV17" s="36">
        <v>0.88</v>
      </c>
      <c r="AW17" s="36">
        <v>2</v>
      </c>
      <c r="AX17" s="35">
        <v>0.7</v>
      </c>
      <c r="AY17" s="33">
        <v>0.05</v>
      </c>
      <c r="AZ17" s="33">
        <v>3</v>
      </c>
      <c r="BA17" s="33">
        <v>1.8</v>
      </c>
      <c r="BB17" s="32"/>
      <c r="BC17" s="619">
        <f t="shared" si="3"/>
        <v>1.21</v>
      </c>
      <c r="BD17" s="610">
        <f t="shared" si="4"/>
        <v>1.038888888888889</v>
      </c>
      <c r="BF17" s="610">
        <f t="shared" si="5"/>
        <v>5.6338028169014088E-4</v>
      </c>
      <c r="BG17" s="610">
        <f t="shared" si="6"/>
        <v>6.9354838709677416E-3</v>
      </c>
      <c r="BH17" s="610">
        <f t="shared" si="7"/>
        <v>0.18124999999999999</v>
      </c>
      <c r="BI17" s="610">
        <f t="shared" si="8"/>
        <v>2.7391304347826086E-3</v>
      </c>
      <c r="BJ17" s="610">
        <f t="shared" si="9"/>
        <v>0.16666666666666666</v>
      </c>
      <c r="BK17" s="610">
        <f t="shared" si="10"/>
        <v>2.8205128205128207E-3</v>
      </c>
      <c r="BL17" s="610">
        <f t="shared" si="11"/>
        <v>9.0534979423868302E-4</v>
      </c>
      <c r="BM17" s="610">
        <f t="shared" si="12"/>
        <v>1E-3</v>
      </c>
      <c r="BN17" s="563">
        <f t="shared" si="13"/>
        <v>188.74886415265789</v>
      </c>
      <c r="BO17" s="563">
        <f t="shared" si="14"/>
        <v>174.13165971620077</v>
      </c>
      <c r="BP17" s="611">
        <f t="shared" si="15"/>
        <v>1.0839434050090615</v>
      </c>
      <c r="BR17" s="564">
        <f t="shared" si="16"/>
        <v>11.962499999999999</v>
      </c>
      <c r="BS17" s="564">
        <f t="shared" si="17"/>
        <v>0.55469999999999997</v>
      </c>
      <c r="BT17" s="564">
        <f t="shared" si="18"/>
        <v>0.1575</v>
      </c>
      <c r="BU17" s="564">
        <f t="shared" si="19"/>
        <v>4.8000000000000007</v>
      </c>
      <c r="BV17" s="564">
        <f t="shared" si="20"/>
        <v>1.8</v>
      </c>
      <c r="BW17" s="564">
        <f t="shared" si="21"/>
        <v>0.82710000000000006</v>
      </c>
      <c r="BX17" s="564">
        <f t="shared" si="0"/>
        <v>0.11199999999999999</v>
      </c>
      <c r="BY17" s="564">
        <f t="shared" si="22"/>
        <v>0.30359999999999998</v>
      </c>
      <c r="BZ17" s="564">
        <f t="shared" si="23"/>
        <v>8.3499999999999998E-3</v>
      </c>
      <c r="CA17" s="564">
        <f t="shared" si="24"/>
        <v>20.525749999999999</v>
      </c>
      <c r="CB17" s="611">
        <f t="shared" si="25"/>
        <v>0.51572236180904518</v>
      </c>
      <c r="CC17" s="610"/>
      <c r="CD17" s="610">
        <f t="shared" si="26"/>
        <v>0.625</v>
      </c>
      <c r="CE17" s="610">
        <f t="shared" si="27"/>
        <v>0</v>
      </c>
      <c r="CF17" s="610">
        <f t="shared" si="35"/>
        <v>1.1200000000000001</v>
      </c>
      <c r="CG17" s="610">
        <f t="shared" si="36"/>
        <v>0.75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26.3</v>
      </c>
      <c r="E18" s="42">
        <v>1.4E-2</v>
      </c>
      <c r="F18" s="43">
        <v>0.1</v>
      </c>
      <c r="G18" s="43">
        <v>6.5</v>
      </c>
      <c r="H18" s="44">
        <v>4.7E-2</v>
      </c>
      <c r="I18" s="43">
        <v>2.2000000000000002</v>
      </c>
      <c r="J18" s="43">
        <v>0.11</v>
      </c>
      <c r="K18" s="43">
        <v>1.0999999999999999E-2</v>
      </c>
      <c r="L18" s="45">
        <v>0.03</v>
      </c>
      <c r="M18" s="42">
        <v>110</v>
      </c>
      <c r="N18" s="43">
        <v>90</v>
      </c>
      <c r="O18" s="43">
        <v>100</v>
      </c>
      <c r="P18" s="43">
        <v>190</v>
      </c>
      <c r="Q18" s="43">
        <v>60</v>
      </c>
      <c r="R18" s="626">
        <f t="shared" si="28"/>
        <v>1.4999999999999999E-2</v>
      </c>
      <c r="S18" s="43">
        <v>4</v>
      </c>
      <c r="T18" s="43">
        <v>12</v>
      </c>
      <c r="U18" s="43">
        <v>2</v>
      </c>
      <c r="V18" s="43">
        <v>7.7</v>
      </c>
      <c r="W18" s="43">
        <v>120</v>
      </c>
      <c r="X18" s="43">
        <v>0.1</v>
      </c>
      <c r="Y18" s="43">
        <v>4.2</v>
      </c>
      <c r="Z18" s="43">
        <v>7.8</v>
      </c>
      <c r="AA18" s="43">
        <v>72</v>
      </c>
      <c r="AB18" s="43">
        <v>2</v>
      </c>
      <c r="AC18" s="43">
        <v>1.9</v>
      </c>
      <c r="AD18" s="43">
        <v>0.4</v>
      </c>
      <c r="AE18" s="43">
        <v>0.8</v>
      </c>
      <c r="AF18" s="43">
        <v>1.8</v>
      </c>
      <c r="AG18" s="43">
        <v>0.04</v>
      </c>
      <c r="AH18" s="43">
        <v>8.3000000000000007</v>
      </c>
      <c r="AI18" s="43">
        <v>0.16</v>
      </c>
      <c r="AJ18" s="43">
        <v>0.24000000000000002</v>
      </c>
      <c r="AK18" s="626">
        <f t="shared" si="29"/>
        <v>0.02</v>
      </c>
      <c r="AL18" s="629">
        <f t="shared" si="30"/>
        <v>3.5000000000000003E-2</v>
      </c>
      <c r="AM18" s="41">
        <v>0.3</v>
      </c>
      <c r="AN18" s="629">
        <f t="shared" si="31"/>
        <v>0.01</v>
      </c>
      <c r="AO18" s="629">
        <f t="shared" si="32"/>
        <v>1.4999999999999999E-2</v>
      </c>
      <c r="AP18" s="43">
        <v>16</v>
      </c>
      <c r="AQ18" s="45"/>
      <c r="AR18" s="631">
        <f t="shared" si="33"/>
        <v>0.45</v>
      </c>
      <c r="AS18" s="42">
        <v>1.2</v>
      </c>
      <c r="AT18" s="664">
        <f t="shared" si="34"/>
        <v>0.45</v>
      </c>
      <c r="AU18" s="664">
        <f t="shared" si="34"/>
        <v>0.45</v>
      </c>
      <c r="AV18" s="44">
        <v>0.98</v>
      </c>
      <c r="AW18" s="44">
        <v>1.6</v>
      </c>
      <c r="AX18" s="43">
        <v>0.72</v>
      </c>
      <c r="AY18" s="41">
        <v>7.0000000000000007E-2</v>
      </c>
      <c r="AZ18" s="41">
        <v>3</v>
      </c>
      <c r="BA18" s="41">
        <v>1.4</v>
      </c>
      <c r="BB18" s="45"/>
      <c r="BC18" s="620">
        <f t="shared" si="3"/>
        <v>1.1766666666666667</v>
      </c>
      <c r="BD18" s="617">
        <f t="shared" si="4"/>
        <v>1.0071428571428573</v>
      </c>
      <c r="BE18" s="616"/>
      <c r="BF18" s="617">
        <f t="shared" si="5"/>
        <v>3.9436619718309862E-4</v>
      </c>
      <c r="BG18" s="617">
        <f t="shared" si="6"/>
        <v>1.6129032258064516E-3</v>
      </c>
      <c r="BH18" s="617">
        <f t="shared" si="7"/>
        <v>0.13541666666666666</v>
      </c>
      <c r="BI18" s="617">
        <f t="shared" si="8"/>
        <v>2.0434782608695651E-3</v>
      </c>
      <c r="BJ18" s="617">
        <f t="shared" si="9"/>
        <v>0.12222222222222223</v>
      </c>
      <c r="BK18" s="617">
        <f t="shared" si="10"/>
        <v>2.8205128205128207E-3</v>
      </c>
      <c r="BL18" s="617">
        <f t="shared" si="11"/>
        <v>9.0534979423868302E-4</v>
      </c>
      <c r="BM18" s="617">
        <f t="shared" si="12"/>
        <v>1.5E-3</v>
      </c>
      <c r="BN18" s="621">
        <f t="shared" si="13"/>
        <v>137.42393608965619</v>
      </c>
      <c r="BO18" s="621">
        <f t="shared" si="14"/>
        <v>129.49156309784328</v>
      </c>
      <c r="BP18" s="618">
        <f t="shared" si="15"/>
        <v>1.0612578364338627</v>
      </c>
      <c r="BQ18" s="616"/>
      <c r="BR18" s="615">
        <f t="shared" si="16"/>
        <v>8.9375</v>
      </c>
      <c r="BS18" s="615">
        <f t="shared" si="17"/>
        <v>0.129</v>
      </c>
      <c r="BT18" s="615">
        <f t="shared" si="18"/>
        <v>0.11749999999999999</v>
      </c>
      <c r="BU18" s="615">
        <f t="shared" si="19"/>
        <v>4.8000000000000007</v>
      </c>
      <c r="BV18" s="615">
        <f t="shared" si="20"/>
        <v>1.4</v>
      </c>
      <c r="BW18" s="615">
        <f t="shared" si="21"/>
        <v>0.82710000000000006</v>
      </c>
      <c r="BX18" s="615">
        <f t="shared" si="0"/>
        <v>8.3999999999999991E-2</v>
      </c>
      <c r="BY18" s="615">
        <f t="shared" si="22"/>
        <v>0.16559999999999997</v>
      </c>
      <c r="BZ18" s="615">
        <f t="shared" si="23"/>
        <v>6.6800000000000002E-3</v>
      </c>
      <c r="CA18" s="615">
        <f t="shared" si="24"/>
        <v>16.467380000000002</v>
      </c>
      <c r="CB18" s="618">
        <f t="shared" si="25"/>
        <v>0.62613612167300392</v>
      </c>
      <c r="CC18" s="617"/>
      <c r="CD18" s="617">
        <f t="shared" si="26"/>
        <v>0.68181818181818177</v>
      </c>
      <c r="CE18" s="617">
        <f t="shared" si="27"/>
        <v>0</v>
      </c>
      <c r="CF18" s="617">
        <f t="shared" si="35"/>
        <v>0.62000000000000011</v>
      </c>
      <c r="CG18" s="617">
        <f t="shared" si="36"/>
        <v>0.79</v>
      </c>
    </row>
    <row r="19" spans="2:85" ht="20.149999999999999" customHeight="1" x14ac:dyDescent="0.2">
      <c r="B19" s="31" t="s">
        <v>61</v>
      </c>
      <c r="C19" s="46" t="s">
        <v>92</v>
      </c>
      <c r="D19" s="47">
        <v>31.1</v>
      </c>
      <c r="E19" s="48">
        <v>0.03</v>
      </c>
      <c r="F19" s="49">
        <v>0.25</v>
      </c>
      <c r="G19" s="49">
        <v>17</v>
      </c>
      <c r="H19" s="50">
        <v>0.13</v>
      </c>
      <c r="I19" s="49">
        <v>5.0999999999999996</v>
      </c>
      <c r="J19" s="49">
        <v>0.17</v>
      </c>
      <c r="K19" s="49">
        <v>2.1000000000000001E-2</v>
      </c>
      <c r="L19" s="37">
        <v>0.08</v>
      </c>
      <c r="M19" s="48">
        <v>160</v>
      </c>
      <c r="N19" s="49">
        <v>70</v>
      </c>
      <c r="O19" s="49">
        <v>150</v>
      </c>
      <c r="P19" s="49">
        <v>170</v>
      </c>
      <c r="Q19" s="49">
        <v>70</v>
      </c>
      <c r="R19" s="49" t="s">
        <v>253</v>
      </c>
      <c r="S19" s="49">
        <v>5</v>
      </c>
      <c r="T19" s="49">
        <v>19</v>
      </c>
      <c r="U19" s="49">
        <v>2</v>
      </c>
      <c r="V19" s="49">
        <v>12</v>
      </c>
      <c r="W19" s="49">
        <v>230</v>
      </c>
      <c r="X19" s="49">
        <v>0.1</v>
      </c>
      <c r="Y19" s="49">
        <v>6.6</v>
      </c>
      <c r="Z19" s="49">
        <v>7</v>
      </c>
      <c r="AA19" s="49">
        <v>85</v>
      </c>
      <c r="AB19" s="49">
        <v>2.8</v>
      </c>
      <c r="AC19" s="49">
        <v>2.8</v>
      </c>
      <c r="AD19" s="49">
        <v>0.6</v>
      </c>
      <c r="AE19" s="49">
        <v>1</v>
      </c>
      <c r="AF19" s="49">
        <v>1.6</v>
      </c>
      <c r="AG19" s="49">
        <v>0.08</v>
      </c>
      <c r="AH19" s="49">
        <v>4.7</v>
      </c>
      <c r="AI19" s="49">
        <v>0.2</v>
      </c>
      <c r="AJ19" s="49">
        <v>0.3</v>
      </c>
      <c r="AK19" s="49" t="s">
        <v>257</v>
      </c>
      <c r="AL19" s="47" t="s">
        <v>258</v>
      </c>
      <c r="AM19" s="47">
        <v>0.3</v>
      </c>
      <c r="AN19" s="47" t="s">
        <v>259</v>
      </c>
      <c r="AO19" s="47" t="s">
        <v>253</v>
      </c>
      <c r="AP19" s="49">
        <v>15</v>
      </c>
      <c r="AQ19" s="37"/>
      <c r="AR19" s="48" t="s">
        <v>260</v>
      </c>
      <c r="AS19" s="48">
        <v>1</v>
      </c>
      <c r="AT19" s="50" t="s">
        <v>260</v>
      </c>
      <c r="AU19" s="50" t="s">
        <v>260</v>
      </c>
      <c r="AV19" s="50">
        <v>0.74</v>
      </c>
      <c r="AW19" s="50">
        <v>1.6</v>
      </c>
      <c r="AX19" s="49">
        <v>0.74</v>
      </c>
      <c r="AY19" s="47">
        <v>0.04</v>
      </c>
      <c r="AZ19" s="47">
        <v>2.5</v>
      </c>
      <c r="BA19" s="47">
        <v>1.6</v>
      </c>
      <c r="BB19" s="37"/>
      <c r="BC19" s="619">
        <f t="shared" si="3"/>
        <v>0.69599999999999995</v>
      </c>
      <c r="BD19" s="610">
        <f t="shared" si="4"/>
        <v>1.0249999999999999</v>
      </c>
      <c r="BF19" s="610">
        <f t="shared" si="5"/>
        <v>8.450704225352112E-4</v>
      </c>
      <c r="BG19" s="610">
        <f t="shared" si="6"/>
        <v>4.0322580645161289E-3</v>
      </c>
      <c r="BH19" s="610">
        <f t="shared" si="7"/>
        <v>0.35416666666666669</v>
      </c>
      <c r="BI19" s="610">
        <f t="shared" si="8"/>
        <v>5.6521739130434784E-3</v>
      </c>
      <c r="BJ19" s="610">
        <f t="shared" si="9"/>
        <v>0.28333333333333333</v>
      </c>
      <c r="BK19" s="610">
        <f t="shared" si="10"/>
        <v>4.3589743589743596E-3</v>
      </c>
      <c r="BL19" s="610">
        <f t="shared" si="11"/>
        <v>1.7283950617283952E-3</v>
      </c>
      <c r="BM19" s="610">
        <f t="shared" si="12"/>
        <v>4.0000000000000001E-3</v>
      </c>
      <c r="BN19" s="563">
        <f t="shared" si="13"/>
        <v>359.04399515371801</v>
      </c>
      <c r="BO19" s="563">
        <f t="shared" si="14"/>
        <v>299.07287666707953</v>
      </c>
      <c r="BP19" s="611">
        <f t="shared" si="15"/>
        <v>1.2005234281188155</v>
      </c>
      <c r="BR19" s="564">
        <f t="shared" si="16"/>
        <v>23.375</v>
      </c>
      <c r="BS19" s="564">
        <f t="shared" si="17"/>
        <v>0.32250000000000001</v>
      </c>
      <c r="BT19" s="564">
        <f t="shared" si="18"/>
        <v>0.32500000000000001</v>
      </c>
      <c r="BU19" s="564">
        <f t="shared" si="19"/>
        <v>4</v>
      </c>
      <c r="BV19" s="564">
        <f t="shared" si="20"/>
        <v>1.6</v>
      </c>
      <c r="BW19" s="564">
        <f t="shared" si="21"/>
        <v>0.64329999999999998</v>
      </c>
      <c r="BX19" s="564">
        <f t="shared" si="0"/>
        <v>9.8000000000000004E-2</v>
      </c>
      <c r="BY19" s="564">
        <f t="shared" si="22"/>
        <v>0.31740000000000002</v>
      </c>
      <c r="BZ19" s="564">
        <f t="shared" si="23"/>
        <v>8.3499999999999998E-3</v>
      </c>
      <c r="CA19" s="564">
        <f t="shared" si="24"/>
        <v>30.689550000000001</v>
      </c>
      <c r="CB19" s="611">
        <f t="shared" si="25"/>
        <v>0.98680225080385853</v>
      </c>
      <c r="CC19" s="610"/>
      <c r="CD19" s="610">
        <f t="shared" si="26"/>
        <v>0.60975609756097571</v>
      </c>
      <c r="CE19" s="610">
        <f t="shared" si="27"/>
        <v>0</v>
      </c>
      <c r="CF19" s="610">
        <f t="shared" si="35"/>
        <v>0.8600000000000001</v>
      </c>
      <c r="CG19" s="610">
        <f t="shared" si="36"/>
        <v>0.78</v>
      </c>
    </row>
    <row r="20" spans="2:85" ht="20.149999999999999" customHeight="1" x14ac:dyDescent="0.2">
      <c r="B20" s="21" t="s">
        <v>61</v>
      </c>
      <c r="C20" s="52" t="s">
        <v>210</v>
      </c>
      <c r="D20" s="53">
        <v>19.2</v>
      </c>
      <c r="E20" s="54">
        <v>0.03</v>
      </c>
      <c r="F20" s="55">
        <v>0.13</v>
      </c>
      <c r="G20" s="55">
        <v>7.6</v>
      </c>
      <c r="H20" s="56">
        <v>0.12</v>
      </c>
      <c r="I20" s="55">
        <v>2.6</v>
      </c>
      <c r="J20" s="55">
        <v>0.13</v>
      </c>
      <c r="K20" s="55">
        <v>1.9E-2</v>
      </c>
      <c r="L20" s="52">
        <v>0.06</v>
      </c>
      <c r="M20" s="54">
        <v>150</v>
      </c>
      <c r="N20" s="55">
        <v>40</v>
      </c>
      <c r="O20" s="55">
        <v>90</v>
      </c>
      <c r="P20" s="55">
        <v>140</v>
      </c>
      <c r="Q20" s="55">
        <v>60</v>
      </c>
      <c r="R20" s="55" t="s">
        <v>253</v>
      </c>
      <c r="S20" s="55">
        <v>4</v>
      </c>
      <c r="T20" s="55">
        <v>14</v>
      </c>
      <c r="U20" s="55">
        <v>1</v>
      </c>
      <c r="V20" s="55">
        <v>8.6999999999999993</v>
      </c>
      <c r="W20" s="55">
        <v>180</v>
      </c>
      <c r="X20" s="55">
        <v>9.0000000000000011E-2</v>
      </c>
      <c r="Y20" s="55">
        <v>4.4000000000000004</v>
      </c>
      <c r="Z20" s="55">
        <v>5.2</v>
      </c>
      <c r="AA20" s="55">
        <v>56</v>
      </c>
      <c r="AB20" s="55">
        <v>1.5</v>
      </c>
      <c r="AC20" s="55">
        <v>1.7</v>
      </c>
      <c r="AD20" s="55">
        <v>0.4</v>
      </c>
      <c r="AE20" s="55">
        <v>1.8</v>
      </c>
      <c r="AF20" s="55">
        <v>1.3</v>
      </c>
      <c r="AG20" s="55">
        <v>0.04</v>
      </c>
      <c r="AH20" s="55">
        <v>4.4000000000000004</v>
      </c>
      <c r="AI20" s="55">
        <v>0.13999999999999999</v>
      </c>
      <c r="AJ20" s="55">
        <v>0.19</v>
      </c>
      <c r="AK20" s="55" t="s">
        <v>257</v>
      </c>
      <c r="AL20" s="53" t="s">
        <v>258</v>
      </c>
      <c r="AM20" s="53">
        <v>0.2</v>
      </c>
      <c r="AN20" s="53" t="s">
        <v>259</v>
      </c>
      <c r="AO20" s="53" t="s">
        <v>253</v>
      </c>
      <c r="AP20" s="55">
        <v>9.5</v>
      </c>
      <c r="AQ20" s="52"/>
      <c r="AR20" s="54" t="s">
        <v>260</v>
      </c>
      <c r="AS20" s="54" t="s">
        <v>260</v>
      </c>
      <c r="AT20" s="56" t="s">
        <v>260</v>
      </c>
      <c r="AU20" s="56" t="s">
        <v>260</v>
      </c>
      <c r="AV20" s="56">
        <v>0.59</v>
      </c>
      <c r="AW20" s="56">
        <v>1.2</v>
      </c>
      <c r="AX20" s="55">
        <v>0.69</v>
      </c>
      <c r="AY20" s="53">
        <v>0.05</v>
      </c>
      <c r="AZ20" s="53">
        <v>2.2000000000000002</v>
      </c>
      <c r="BA20" s="53">
        <v>1.4</v>
      </c>
      <c r="BB20" s="52"/>
      <c r="BC20" s="619">
        <f t="shared" si="3"/>
        <v>0.26818181818181813</v>
      </c>
      <c r="BD20" s="610">
        <f t="shared" si="4"/>
        <v>0.96428571428571441</v>
      </c>
      <c r="BF20" s="610">
        <f t="shared" si="5"/>
        <v>8.450704225352112E-4</v>
      </c>
      <c r="BG20" s="610">
        <f t="shared" si="6"/>
        <v>2.096774193548387E-3</v>
      </c>
      <c r="BH20" s="610">
        <f t="shared" si="7"/>
        <v>0.15833333333333333</v>
      </c>
      <c r="BI20" s="610">
        <f t="shared" si="8"/>
        <v>5.2173913043478256E-3</v>
      </c>
      <c r="BJ20" s="610">
        <f t="shared" si="9"/>
        <v>0.14444444444444446</v>
      </c>
      <c r="BK20" s="610">
        <f t="shared" si="10"/>
        <v>3.3333333333333335E-3</v>
      </c>
      <c r="BL20" s="610">
        <f t="shared" si="11"/>
        <v>1.5637860082304525E-3</v>
      </c>
      <c r="BM20" s="610">
        <f t="shared" si="12"/>
        <v>3.0000000000000001E-3</v>
      </c>
      <c r="BN20" s="563">
        <f t="shared" si="13"/>
        <v>161.27517794941693</v>
      </c>
      <c r="BO20" s="563">
        <f t="shared" si="14"/>
        <v>157.55895509035605</v>
      </c>
      <c r="BP20" s="611">
        <f t="shared" si="15"/>
        <v>1.0235862370179449</v>
      </c>
      <c r="BR20" s="564">
        <f t="shared" si="16"/>
        <v>10.45</v>
      </c>
      <c r="BS20" s="564">
        <f t="shared" si="17"/>
        <v>0.16770000000000002</v>
      </c>
      <c r="BT20" s="564">
        <f t="shared" si="18"/>
        <v>0.3</v>
      </c>
      <c r="BU20" s="564">
        <f t="shared" si="19"/>
        <v>3.5200000000000005</v>
      </c>
      <c r="BV20" s="564">
        <f t="shared" si="20"/>
        <v>1.4</v>
      </c>
      <c r="BW20" s="564">
        <f t="shared" si="21"/>
        <v>0.36760000000000004</v>
      </c>
      <c r="BX20" s="564">
        <f t="shared" si="0"/>
        <v>8.3999999999999991E-2</v>
      </c>
      <c r="BY20" s="564">
        <f t="shared" si="22"/>
        <v>0.24839999999999998</v>
      </c>
      <c r="BZ20" s="564">
        <f t="shared" si="23"/>
        <v>6.6800000000000002E-3</v>
      </c>
      <c r="CA20" s="564">
        <f t="shared" si="24"/>
        <v>16.54438</v>
      </c>
      <c r="CB20" s="611">
        <f t="shared" si="25"/>
        <v>0.86168645833333335</v>
      </c>
      <c r="CD20" s="610">
        <f t="shared" si="26"/>
        <v>0.61111111111111116</v>
      </c>
      <c r="CE20" s="610">
        <f t="shared" si="27"/>
        <v>0</v>
      </c>
      <c r="CF20" s="610">
        <f t="shared" si="35"/>
        <v>0.61</v>
      </c>
      <c r="CG20" s="610">
        <f t="shared" si="36"/>
        <v>0.74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28.099999999999998</v>
      </c>
      <c r="E21" s="541">
        <f t="shared" ref="E21:BB21" si="37">AVERAGE(E12:E18)</f>
        <v>6.6285714285714295E-2</v>
      </c>
      <c r="F21" s="541">
        <f t="shared" si="37"/>
        <v>0.44285714285714295</v>
      </c>
      <c r="G21" s="540">
        <f t="shared" si="37"/>
        <v>6.6571428571428566</v>
      </c>
      <c r="H21" s="541">
        <f t="shared" si="37"/>
        <v>0.12028571428571429</v>
      </c>
      <c r="I21" s="540">
        <f t="shared" si="37"/>
        <v>2.2714285714285718</v>
      </c>
      <c r="J21" s="541">
        <f t="shared" si="37"/>
        <v>8.357142857142856E-2</v>
      </c>
      <c r="K21" s="541">
        <f t="shared" si="37"/>
        <v>1.5714285714285715E-2</v>
      </c>
      <c r="L21" s="541">
        <f t="shared" si="37"/>
        <v>4.5714285714285721E-2</v>
      </c>
      <c r="M21" s="540">
        <f t="shared" si="37"/>
        <v>240</v>
      </c>
      <c r="N21" s="540">
        <f t="shared" si="37"/>
        <v>47.714285714285715</v>
      </c>
      <c r="O21" s="540">
        <f t="shared" si="37"/>
        <v>77.142857142857139</v>
      </c>
      <c r="P21" s="540">
        <f t="shared" si="37"/>
        <v>158.57142857142858</v>
      </c>
      <c r="Q21" s="540">
        <f t="shared" si="37"/>
        <v>47.142857142857146</v>
      </c>
      <c r="R21" s="540">
        <f t="shared" si="37"/>
        <v>1.4999999999999999E-2</v>
      </c>
      <c r="S21" s="540">
        <f t="shared" si="37"/>
        <v>3.5714285714285716</v>
      </c>
      <c r="T21" s="540">
        <f t="shared" si="37"/>
        <v>17.514285714285712</v>
      </c>
      <c r="U21" s="540">
        <f t="shared" si="37"/>
        <v>1.8571428571428572</v>
      </c>
      <c r="V21" s="540">
        <f t="shared" si="37"/>
        <v>8.5285714285714285</v>
      </c>
      <c r="W21" s="540">
        <f t="shared" si="37"/>
        <v>164.28571428571428</v>
      </c>
      <c r="X21" s="540">
        <f t="shared" si="37"/>
        <v>9.5714285714285724E-2</v>
      </c>
      <c r="Y21" s="540">
        <f t="shared" si="37"/>
        <v>5.9571428571428573</v>
      </c>
      <c r="Z21" s="540">
        <f t="shared" si="37"/>
        <v>6.0857142857142845</v>
      </c>
      <c r="AA21" s="540">
        <f t="shared" si="37"/>
        <v>51.714285714285715</v>
      </c>
      <c r="AB21" s="540">
        <f t="shared" si="37"/>
        <v>1.5857142857142856</v>
      </c>
      <c r="AC21" s="541">
        <f t="shared" si="37"/>
        <v>1.8857142857142857</v>
      </c>
      <c r="AD21" s="541">
        <f t="shared" si="37"/>
        <v>0.3914285714285714</v>
      </c>
      <c r="AE21" s="541">
        <f t="shared" si="37"/>
        <v>0.98571428571428565</v>
      </c>
      <c r="AF21" s="541">
        <f t="shared" si="37"/>
        <v>1.5357142857142858</v>
      </c>
      <c r="AG21" s="541">
        <f t="shared" si="37"/>
        <v>5.2857142857142859E-2</v>
      </c>
      <c r="AH21" s="541">
        <f t="shared" si="37"/>
        <v>6.9857142857142867</v>
      </c>
      <c r="AI21" s="541">
        <f t="shared" si="37"/>
        <v>0.25142857142857145</v>
      </c>
      <c r="AJ21" s="541">
        <f t="shared" si="37"/>
        <v>0.24</v>
      </c>
      <c r="AK21" s="541">
        <f t="shared" si="37"/>
        <v>0.02</v>
      </c>
      <c r="AL21" s="541">
        <f t="shared" si="37"/>
        <v>3.5000000000000003E-2</v>
      </c>
      <c r="AM21" s="541">
        <f t="shared" si="37"/>
        <v>0.32857142857142857</v>
      </c>
      <c r="AN21" s="541">
        <f t="shared" si="37"/>
        <v>0.01</v>
      </c>
      <c r="AO21" s="541">
        <f t="shared" si="37"/>
        <v>1.4999999999999999E-2</v>
      </c>
      <c r="AP21" s="541">
        <f t="shared" si="37"/>
        <v>11.700000000000001</v>
      </c>
      <c r="AQ21" s="541" t="e">
        <f t="shared" si="37"/>
        <v>#DIV/0!</v>
      </c>
      <c r="AR21" s="540">
        <f t="shared" si="37"/>
        <v>0.45000000000000007</v>
      </c>
      <c r="AS21" s="540">
        <f t="shared" si="37"/>
        <v>1.1071428571428572</v>
      </c>
      <c r="AT21" s="540">
        <f t="shared" si="37"/>
        <v>0.45000000000000007</v>
      </c>
      <c r="AU21" s="540">
        <f t="shared" si="37"/>
        <v>0.45000000000000007</v>
      </c>
      <c r="AV21" s="540">
        <f t="shared" si="37"/>
        <v>0.88571428571428557</v>
      </c>
      <c r="AW21" s="540">
        <f t="shared" si="37"/>
        <v>1.7285714285714284</v>
      </c>
      <c r="AX21" s="540">
        <f t="shared" si="37"/>
        <v>0.73857142857142855</v>
      </c>
      <c r="AY21" s="540">
        <f t="shared" si="37"/>
        <v>6.0000000000000005E-2</v>
      </c>
      <c r="AZ21" s="540">
        <f t="shared" si="37"/>
        <v>2.9714285714285715</v>
      </c>
      <c r="BA21" s="540">
        <f t="shared" si="37"/>
        <v>1.642857142857143</v>
      </c>
      <c r="BB21" s="540" t="e">
        <f t="shared" si="37"/>
        <v>#DIV/0!</v>
      </c>
      <c r="CD21" s="691">
        <f>AVERAGE(CD12:CD18)</f>
        <v>0.64525931773048018</v>
      </c>
      <c r="CE21" s="691">
        <f>AVERAGE(CE12:CE18)</f>
        <v>0</v>
      </c>
      <c r="CF21" s="691">
        <f>AVERAGE(CF12:CF18)</f>
        <v>0.84285714285714286</v>
      </c>
      <c r="CG21" s="691">
        <f>AVERAGE(CG12:CG18)</f>
        <v>0.79857142857142871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24.664285714285715</v>
      </c>
      <c r="E22" s="545">
        <f t="shared" ref="E22:BB22" si="38">AVERAGE(E7:E20)</f>
        <v>5.1000000000000011E-2</v>
      </c>
      <c r="F22" s="545">
        <f t="shared" si="38"/>
        <v>0.39071428571428563</v>
      </c>
      <c r="G22" s="544">
        <f t="shared" si="38"/>
        <v>6.6</v>
      </c>
      <c r="H22" s="545">
        <f t="shared" si="38"/>
        <v>0.14364285714285713</v>
      </c>
      <c r="I22" s="544">
        <f t="shared" si="38"/>
        <v>2.1992857142857143</v>
      </c>
      <c r="J22" s="545">
        <f t="shared" si="38"/>
        <v>9.4285714285714278E-2</v>
      </c>
      <c r="K22" s="545">
        <f t="shared" si="38"/>
        <v>1.9785714285714292E-2</v>
      </c>
      <c r="L22" s="545">
        <f t="shared" si="38"/>
        <v>5.2642857142857151E-2</v>
      </c>
      <c r="M22" s="544">
        <f t="shared" si="38"/>
        <v>228.57142857142858</v>
      </c>
      <c r="N22" s="544">
        <f t="shared" si="38"/>
        <v>44.214285714285715</v>
      </c>
      <c r="O22" s="544">
        <f t="shared" si="38"/>
        <v>72.857142857142861</v>
      </c>
      <c r="P22" s="544">
        <f t="shared" si="38"/>
        <v>145.71428571428572</v>
      </c>
      <c r="Q22" s="544">
        <f t="shared" si="38"/>
        <v>47.142857142857146</v>
      </c>
      <c r="R22" s="544">
        <f t="shared" si="38"/>
        <v>1.4999999999999999E-2</v>
      </c>
      <c r="S22" s="544">
        <f t="shared" si="38"/>
        <v>3.5500000000000003</v>
      </c>
      <c r="T22" s="544">
        <f t="shared" si="38"/>
        <v>15.864285714285714</v>
      </c>
      <c r="U22" s="544">
        <f t="shared" si="38"/>
        <v>1.8285714285714287</v>
      </c>
      <c r="V22" s="544">
        <f t="shared" si="38"/>
        <v>8.5142857142857142</v>
      </c>
      <c r="W22" s="544">
        <f t="shared" si="38"/>
        <v>173.28571428571428</v>
      </c>
      <c r="X22" s="544">
        <f t="shared" si="38"/>
        <v>9.0714285714285733E-2</v>
      </c>
      <c r="Y22" s="544">
        <f t="shared" si="38"/>
        <v>5.3714285714285719</v>
      </c>
      <c r="Z22" s="544">
        <f t="shared" si="38"/>
        <v>6.6642857142857137</v>
      </c>
      <c r="AA22" s="544">
        <f t="shared" si="38"/>
        <v>50.75714285714286</v>
      </c>
      <c r="AB22" s="544">
        <f t="shared" si="38"/>
        <v>1.3923076923076925</v>
      </c>
      <c r="AC22" s="545">
        <f t="shared" si="38"/>
        <v>1.7228571428571429</v>
      </c>
      <c r="AD22" s="545">
        <f t="shared" si="38"/>
        <v>0.38461538461538464</v>
      </c>
      <c r="AE22" s="545">
        <f t="shared" si="38"/>
        <v>1.4121428571428574</v>
      </c>
      <c r="AF22" s="545">
        <f t="shared" si="38"/>
        <v>1.4600000000000002</v>
      </c>
      <c r="AG22" s="545">
        <f t="shared" si="38"/>
        <v>5.3333333333333337E-2</v>
      </c>
      <c r="AH22" s="545">
        <f t="shared" si="38"/>
        <v>6.75</v>
      </c>
      <c r="AI22" s="545">
        <f t="shared" si="38"/>
        <v>0.32846153846153842</v>
      </c>
      <c r="AJ22" s="545">
        <f t="shared" si="38"/>
        <v>0.28499999999999998</v>
      </c>
      <c r="AK22" s="545">
        <f t="shared" si="38"/>
        <v>2.9999999999999995E-2</v>
      </c>
      <c r="AL22" s="545">
        <f t="shared" si="38"/>
        <v>3.5000000000000003E-2</v>
      </c>
      <c r="AM22" s="545">
        <f t="shared" si="38"/>
        <v>0.36923076923076914</v>
      </c>
      <c r="AN22" s="545">
        <f t="shared" si="38"/>
        <v>0.01</v>
      </c>
      <c r="AO22" s="545">
        <f t="shared" si="38"/>
        <v>1.4999999999999999E-2</v>
      </c>
      <c r="AP22" s="545">
        <f t="shared" si="38"/>
        <v>9.9857142857142858</v>
      </c>
      <c r="AQ22" s="545" t="e">
        <f t="shared" si="38"/>
        <v>#DIV/0!</v>
      </c>
      <c r="AR22" s="544">
        <f t="shared" si="38"/>
        <v>0.45000000000000007</v>
      </c>
      <c r="AS22" s="544">
        <f t="shared" si="38"/>
        <v>1.25</v>
      </c>
      <c r="AT22" s="544">
        <f t="shared" si="38"/>
        <v>0.64500000000000013</v>
      </c>
      <c r="AU22" s="544">
        <f t="shared" si="38"/>
        <v>0.54375000000000007</v>
      </c>
      <c r="AV22" s="544">
        <f t="shared" si="38"/>
        <v>0.84153846153846168</v>
      </c>
      <c r="AW22" s="544">
        <f t="shared" si="38"/>
        <v>1.6642857142857146</v>
      </c>
      <c r="AX22" s="544">
        <f t="shared" si="38"/>
        <v>0.64285714285714268</v>
      </c>
      <c r="AY22" s="544">
        <f t="shared" si="38"/>
        <v>5.4545454545454557E-2</v>
      </c>
      <c r="AZ22" s="544">
        <f t="shared" si="38"/>
        <v>3.2538461538461543</v>
      </c>
      <c r="BA22" s="544">
        <f t="shared" si="38"/>
        <v>1.5778571428571428</v>
      </c>
      <c r="BB22" s="544" t="e">
        <f t="shared" si="38"/>
        <v>#DIV/0!</v>
      </c>
      <c r="CD22" s="691" t="e">
        <f>AVERAGE(CD7:CD20)</f>
        <v>#VALUE!</v>
      </c>
      <c r="CE22" s="691" t="e">
        <f>AVERAGE(CE7:CE20)</f>
        <v>#VALUE!</v>
      </c>
      <c r="CF22" s="691" t="e">
        <f>AVERAGE(CF7:CF20)</f>
        <v>#VALUE!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30">
        <v>7.0000000000000001E-3</v>
      </c>
      <c r="F23" s="29">
        <v>0.01</v>
      </c>
      <c r="G23" s="29">
        <v>4.0000000000000001E-3</v>
      </c>
      <c r="H23" s="30">
        <v>1E-3</v>
      </c>
      <c r="I23" s="29">
        <v>5.0000000000000001E-3</v>
      </c>
      <c r="J23" s="29">
        <v>8.9999999999999998E-4</v>
      </c>
      <c r="K23" s="29">
        <v>1E-3</v>
      </c>
      <c r="L23" s="26">
        <v>7.0000000000000001E-3</v>
      </c>
      <c r="M23" s="30">
        <v>2</v>
      </c>
      <c r="N23" s="29">
        <v>9</v>
      </c>
      <c r="O23" s="29">
        <v>4</v>
      </c>
      <c r="P23" s="29">
        <v>1</v>
      </c>
      <c r="Q23" s="29">
        <v>4</v>
      </c>
      <c r="R23" s="29">
        <v>3.0000000000000002E-2</v>
      </c>
      <c r="S23" s="29">
        <v>0.7</v>
      </c>
      <c r="T23" s="29">
        <v>6.9999999999999993E-2</v>
      </c>
      <c r="U23" s="29">
        <v>0.3</v>
      </c>
      <c r="V23" s="29">
        <v>9.0000000000000011E-2</v>
      </c>
      <c r="W23" s="29">
        <v>0.9</v>
      </c>
      <c r="X23" s="29">
        <v>3.0000000000000002E-2</v>
      </c>
      <c r="Y23" s="29">
        <v>0.1</v>
      </c>
      <c r="Z23" s="29">
        <v>0.04</v>
      </c>
      <c r="AA23" s="29">
        <v>0.2</v>
      </c>
      <c r="AB23" s="29">
        <v>0.2</v>
      </c>
      <c r="AC23" s="29">
        <v>6.0000000000000005E-2</v>
      </c>
      <c r="AD23" s="29">
        <v>9.0000000000000011E-2</v>
      </c>
      <c r="AE23" s="29">
        <v>0.05</v>
      </c>
      <c r="AF23" s="29">
        <v>0.02</v>
      </c>
      <c r="AG23" s="29">
        <v>3.0000000000000002E-2</v>
      </c>
      <c r="AH23" s="29">
        <v>0.1</v>
      </c>
      <c r="AI23" s="29">
        <v>0.05</v>
      </c>
      <c r="AJ23" s="29">
        <v>0.02</v>
      </c>
      <c r="AK23" s="29">
        <v>0.04</v>
      </c>
      <c r="AL23" s="27">
        <v>6.9999999999999993E-2</v>
      </c>
      <c r="AM23" s="58">
        <v>0.04</v>
      </c>
      <c r="AN23" s="58">
        <v>0.02</v>
      </c>
      <c r="AO23" s="58">
        <v>3.0000000000000002E-2</v>
      </c>
      <c r="AP23" s="59">
        <v>0.05</v>
      </c>
      <c r="AQ23" s="60"/>
      <c r="AR23" s="28">
        <v>0.9</v>
      </c>
      <c r="AS23" s="30">
        <v>0.9</v>
      </c>
      <c r="AT23" s="30">
        <v>0.9</v>
      </c>
      <c r="AU23" s="30">
        <v>0.9</v>
      </c>
      <c r="AV23" s="30">
        <v>0.03</v>
      </c>
      <c r="AW23" s="29">
        <v>0.03</v>
      </c>
      <c r="AX23" s="27">
        <v>0.03</v>
      </c>
      <c r="AY23" s="27">
        <v>0.03</v>
      </c>
      <c r="AZ23" s="27"/>
      <c r="BA23" s="27"/>
      <c r="BB23" s="26"/>
    </row>
    <row r="24" spans="2:85" ht="20.149999999999999" customHeight="1" x14ac:dyDescent="0.2">
      <c r="B24" s="692" t="s">
        <v>95</v>
      </c>
      <c r="C24" s="693"/>
      <c r="D24" s="61"/>
      <c r="E24" s="56">
        <v>0.02</v>
      </c>
      <c r="F24" s="55">
        <v>0.04</v>
      </c>
      <c r="G24" s="55">
        <v>0.01</v>
      </c>
      <c r="H24" s="56">
        <v>3.0000000000000001E-3</v>
      </c>
      <c r="I24" s="55">
        <v>0.02</v>
      </c>
      <c r="J24" s="55">
        <v>3.0000000000000001E-3</v>
      </c>
      <c r="K24" s="55">
        <v>4.0000000000000001E-3</v>
      </c>
      <c r="L24" s="52">
        <v>0.02</v>
      </c>
      <c r="M24" s="56">
        <v>7</v>
      </c>
      <c r="N24" s="55">
        <v>30</v>
      </c>
      <c r="O24" s="55">
        <v>10</v>
      </c>
      <c r="P24" s="55">
        <v>4</v>
      </c>
      <c r="Q24" s="55">
        <v>10</v>
      </c>
      <c r="R24" s="55">
        <v>0.1</v>
      </c>
      <c r="S24" s="55">
        <v>2</v>
      </c>
      <c r="T24" s="55">
        <v>0.2</v>
      </c>
      <c r="U24" s="55">
        <v>1</v>
      </c>
      <c r="V24" s="55">
        <v>0.3</v>
      </c>
      <c r="W24" s="55">
        <v>3</v>
      </c>
      <c r="X24" s="55">
        <v>0.1</v>
      </c>
      <c r="Y24" s="55">
        <v>0.3</v>
      </c>
      <c r="Z24" s="55">
        <v>0.1</v>
      </c>
      <c r="AA24" s="55">
        <v>0.7</v>
      </c>
      <c r="AB24" s="55">
        <v>0.5</v>
      </c>
      <c r="AC24" s="55">
        <v>0.2</v>
      </c>
      <c r="AD24" s="55">
        <v>0.3</v>
      </c>
      <c r="AE24" s="55">
        <v>0.2</v>
      </c>
      <c r="AF24" s="55">
        <v>0.08</v>
      </c>
      <c r="AG24" s="55">
        <v>0.1</v>
      </c>
      <c r="AH24" s="55">
        <v>0.3</v>
      </c>
      <c r="AI24" s="55">
        <v>0.2</v>
      </c>
      <c r="AJ24" s="55">
        <v>6.0000000000000005E-2</v>
      </c>
      <c r="AK24" s="55">
        <v>0.1</v>
      </c>
      <c r="AL24" s="53">
        <v>0.2</v>
      </c>
      <c r="AM24" s="53">
        <v>0.1</v>
      </c>
      <c r="AN24" s="53">
        <v>6.9999999999999993E-2</v>
      </c>
      <c r="AO24" s="53">
        <v>0.1</v>
      </c>
      <c r="AP24" s="55">
        <v>0.2</v>
      </c>
      <c r="AQ24" s="52"/>
      <c r="AR24" s="54">
        <v>3</v>
      </c>
      <c r="AS24" s="56">
        <v>3</v>
      </c>
      <c r="AT24" s="56">
        <v>3</v>
      </c>
      <c r="AU24" s="56">
        <v>3</v>
      </c>
      <c r="AV24" s="56">
        <v>0.09</v>
      </c>
      <c r="AW24" s="55">
        <v>0.09</v>
      </c>
      <c r="AX24" s="53">
        <v>0.09</v>
      </c>
      <c r="AY24" s="53">
        <v>0.09</v>
      </c>
      <c r="AZ24" s="53"/>
      <c r="BA24" s="53"/>
      <c r="BB24" s="5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51" priority="6" stopIfTrue="1" operator="notBetween">
      <formula>0.8</formula>
      <formula>1.2</formula>
    </cfRule>
  </conditionalFormatting>
  <conditionalFormatting sqref="BC7:BD20">
    <cfRule type="cellIs" dxfId="50" priority="5" stopIfTrue="1" operator="notBetween">
      <formula>0.9</formula>
      <formula>1.1</formula>
    </cfRule>
  </conditionalFormatting>
  <conditionalFormatting sqref="BP7:BP20">
    <cfRule type="cellIs" dxfId="49" priority="3" stopIfTrue="1" operator="notBetween">
      <formula>0.8</formula>
      <formula>1.2</formula>
    </cfRule>
  </conditionalFormatting>
  <conditionalFormatting sqref="CF7:CF20">
    <cfRule type="cellIs" dxfId="48" priority="1" stopIfTrue="1" operator="lessThan">
      <formula>0</formula>
    </cfRule>
  </conditionalFormatting>
  <dataValidations disablePrompts="1"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280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4</v>
      </c>
      <c r="E7" s="28">
        <v>0.08</v>
      </c>
      <c r="F7" s="29">
        <v>0.11</v>
      </c>
      <c r="G7" s="29">
        <v>1.1000000000000001</v>
      </c>
      <c r="H7" s="30">
        <v>0.13</v>
      </c>
      <c r="I7" s="29">
        <v>0.24</v>
      </c>
      <c r="J7" s="29">
        <v>0.01</v>
      </c>
      <c r="K7" s="29">
        <v>1.4999999999999999E-2</v>
      </c>
      <c r="L7" s="26">
        <v>0.04</v>
      </c>
      <c r="M7" s="28">
        <v>140</v>
      </c>
      <c r="N7" s="29">
        <v>18</v>
      </c>
      <c r="O7" s="29">
        <v>30</v>
      </c>
      <c r="P7" s="29">
        <v>26</v>
      </c>
      <c r="Q7" s="29">
        <v>20</v>
      </c>
      <c r="R7" s="29" t="s">
        <v>253</v>
      </c>
      <c r="S7" s="29">
        <v>1.3</v>
      </c>
      <c r="T7" s="29">
        <v>1</v>
      </c>
      <c r="U7" s="29">
        <v>0.7</v>
      </c>
      <c r="V7" s="29">
        <v>1.2</v>
      </c>
      <c r="W7" s="29">
        <v>38</v>
      </c>
      <c r="X7" s="29" t="s">
        <v>253</v>
      </c>
      <c r="Y7" s="29">
        <v>0.3</v>
      </c>
      <c r="Z7" s="29">
        <v>2.1</v>
      </c>
      <c r="AA7" s="29">
        <v>5.4</v>
      </c>
      <c r="AB7" s="29" t="s">
        <v>254</v>
      </c>
      <c r="AC7" s="29">
        <v>0.12999999999999998</v>
      </c>
      <c r="AD7" s="29" t="s">
        <v>255</v>
      </c>
      <c r="AE7" s="29">
        <v>6.9999999999999993E-2</v>
      </c>
      <c r="AF7" s="29">
        <v>0.39</v>
      </c>
      <c r="AG7" s="29" t="s">
        <v>253</v>
      </c>
      <c r="AH7" s="29">
        <v>2.2000000000000002</v>
      </c>
      <c r="AI7" s="29" t="s">
        <v>256</v>
      </c>
      <c r="AJ7" s="29">
        <v>3.0000000000000002E-2</v>
      </c>
      <c r="AK7" s="29" t="s">
        <v>257</v>
      </c>
      <c r="AL7" s="27" t="s">
        <v>258</v>
      </c>
      <c r="AM7" s="27" t="s">
        <v>257</v>
      </c>
      <c r="AN7" s="27" t="s">
        <v>259</v>
      </c>
      <c r="AO7" s="27" t="s">
        <v>253</v>
      </c>
      <c r="AP7" s="29">
        <v>0.7</v>
      </c>
      <c r="AQ7" s="26"/>
      <c r="AR7" s="28" t="s">
        <v>260</v>
      </c>
      <c r="AS7" s="30" t="s">
        <v>260</v>
      </c>
      <c r="AT7" s="30" t="s">
        <v>260</v>
      </c>
      <c r="AU7" s="30" t="s">
        <v>260</v>
      </c>
      <c r="AV7" s="30" t="s">
        <v>253</v>
      </c>
      <c r="AW7" s="29">
        <v>0.17</v>
      </c>
      <c r="AX7" s="27">
        <v>0.19</v>
      </c>
      <c r="AY7" s="27" t="s">
        <v>253</v>
      </c>
      <c r="AZ7" s="27" t="s">
        <v>260</v>
      </c>
      <c r="BA7" s="27">
        <v>0.36</v>
      </c>
      <c r="BB7" s="26"/>
      <c r="BC7" s="619" t="e">
        <f>SUM(AR7:AV7)/AZ7</f>
        <v>#VALUE!</v>
      </c>
      <c r="BD7" s="610" t="e">
        <f>(SUM(AW7:AY7)-AV7)/BA7</f>
        <v>#VALUE!</v>
      </c>
      <c r="BF7" s="610">
        <f>E7/35.5</f>
        <v>2.2535211267605635E-3</v>
      </c>
      <c r="BG7" s="610">
        <f>F7/62</f>
        <v>1.7741935483870969E-3</v>
      </c>
      <c r="BH7" s="610">
        <f>G7/(96/2)</f>
        <v>2.2916666666666669E-2</v>
      </c>
      <c r="BI7" s="610">
        <f>H7/23</f>
        <v>5.6521739130434784E-3</v>
      </c>
      <c r="BJ7" s="610">
        <f>I7/18</f>
        <v>1.3333333333333332E-2</v>
      </c>
      <c r="BK7" s="610">
        <f>J7/39</f>
        <v>2.5641025641025641E-4</v>
      </c>
      <c r="BL7" s="610">
        <f>K7/(24.3/2)</f>
        <v>1.2345679012345679E-3</v>
      </c>
      <c r="BM7" s="610">
        <f>L7/(40/2)</f>
        <v>2E-3</v>
      </c>
      <c r="BN7" s="563">
        <f>SUM(BF7:BH7)*1000</f>
        <v>26.944381341814331</v>
      </c>
      <c r="BO7" s="563">
        <f>SUM(BI7:BM7)*1000</f>
        <v>22.476485404021634</v>
      </c>
      <c r="BP7" s="611">
        <f>BN7/BO7</f>
        <v>1.1987808973458667</v>
      </c>
      <c r="BR7" s="564">
        <f>1.375*G7</f>
        <v>1.5125000000000002</v>
      </c>
      <c r="BS7" s="564">
        <f>1.29*F7</f>
        <v>0.1419</v>
      </c>
      <c r="BT7" s="564">
        <f>2.5*H7</f>
        <v>0.32500000000000001</v>
      </c>
      <c r="BU7" s="564" t="e">
        <f>1.6*AZ7</f>
        <v>#VALUE!</v>
      </c>
      <c r="BV7" s="564">
        <f>BA7</f>
        <v>0.36</v>
      </c>
      <c r="BW7" s="564">
        <f>9.19/1000*N7</f>
        <v>0.16542000000000001</v>
      </c>
      <c r="BX7" s="564">
        <f t="shared" ref="BX7:BX20" si="0">Q7/1000*1.4</f>
        <v>2.7999999999999997E-2</v>
      </c>
      <c r="BY7" s="564">
        <f>W7/1000*1.38</f>
        <v>5.2439999999999994E-2</v>
      </c>
      <c r="BZ7" s="564">
        <f>S7/1000*1.67</f>
        <v>2.1709999999999998E-3</v>
      </c>
      <c r="CA7" s="564" t="e">
        <f>SUM(BR7:BZ7)</f>
        <v>#VALUE!</v>
      </c>
      <c r="CB7" s="611" t="e">
        <f>CA7/D7</f>
        <v>#VALUE!</v>
      </c>
      <c r="CD7" s="610" t="e">
        <f>AZ7/(AZ7+BA7)</f>
        <v>#VALUE!</v>
      </c>
      <c r="CE7" s="610" t="e">
        <f>BB7/AZ7</f>
        <v>#VALUE!</v>
      </c>
      <c r="CF7" s="610" t="e">
        <f t="shared" ref="CF7:CF12" si="1">IF(AW7-AV7&gt;0,AW7-AV7,0)</f>
        <v>#VALUE!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33">
        <v>7.2</v>
      </c>
      <c r="E8" s="34">
        <v>1.9E-2</v>
      </c>
      <c r="F8" s="35">
        <v>0.21</v>
      </c>
      <c r="G8" s="35">
        <v>1</v>
      </c>
      <c r="H8" s="36">
        <v>6.6000000000000003E-2</v>
      </c>
      <c r="I8" s="35">
        <v>0.33</v>
      </c>
      <c r="J8" s="35">
        <v>3.4000000000000002E-2</v>
      </c>
      <c r="K8" s="35">
        <v>8.9999999999999993E-3</v>
      </c>
      <c r="L8" s="32">
        <v>1.4999999999999999E-2</v>
      </c>
      <c r="M8" s="34">
        <v>110</v>
      </c>
      <c r="N8" s="35">
        <v>25</v>
      </c>
      <c r="O8" s="35">
        <v>40</v>
      </c>
      <c r="P8" s="35">
        <v>62</v>
      </c>
      <c r="Q8" s="35">
        <v>40</v>
      </c>
      <c r="R8" s="35" t="s">
        <v>253</v>
      </c>
      <c r="S8" s="35">
        <v>2</v>
      </c>
      <c r="T8" s="35">
        <v>1.1000000000000001</v>
      </c>
      <c r="U8" s="35">
        <v>1</v>
      </c>
      <c r="V8" s="35">
        <v>4.5</v>
      </c>
      <c r="W8" s="35">
        <v>84</v>
      </c>
      <c r="X8" s="35">
        <v>0.05</v>
      </c>
      <c r="Y8" s="35">
        <v>0.7</v>
      </c>
      <c r="Z8" s="35">
        <v>5.3</v>
      </c>
      <c r="AA8" s="35">
        <v>18</v>
      </c>
      <c r="AB8" s="35">
        <v>0.2</v>
      </c>
      <c r="AC8" s="35">
        <v>0.9</v>
      </c>
      <c r="AD8" s="35">
        <v>0.12000000000000001</v>
      </c>
      <c r="AE8" s="35">
        <v>0.4</v>
      </c>
      <c r="AF8" s="35">
        <v>0.78</v>
      </c>
      <c r="AG8" s="35" t="s">
        <v>253</v>
      </c>
      <c r="AH8" s="35">
        <v>5</v>
      </c>
      <c r="AI8" s="35">
        <v>0.12000000000000001</v>
      </c>
      <c r="AJ8" s="35">
        <v>0.18000000000000002</v>
      </c>
      <c r="AK8" s="35" t="s">
        <v>257</v>
      </c>
      <c r="AL8" s="33" t="s">
        <v>258</v>
      </c>
      <c r="AM8" s="33">
        <v>9.0000000000000011E-2</v>
      </c>
      <c r="AN8" s="33" t="s">
        <v>259</v>
      </c>
      <c r="AO8" s="33" t="s">
        <v>253</v>
      </c>
      <c r="AP8" s="35">
        <v>2.2000000000000002</v>
      </c>
      <c r="AQ8" s="32"/>
      <c r="AR8" s="34" t="s">
        <v>260</v>
      </c>
      <c r="AS8" s="36" t="s">
        <v>260</v>
      </c>
      <c r="AT8" s="36" t="s">
        <v>260</v>
      </c>
      <c r="AU8" s="36" t="s">
        <v>260</v>
      </c>
      <c r="AV8" s="36">
        <v>0.11</v>
      </c>
      <c r="AW8" s="35">
        <v>0.59</v>
      </c>
      <c r="AX8" s="33">
        <v>0.41</v>
      </c>
      <c r="AY8" s="33" t="s">
        <v>253</v>
      </c>
      <c r="AZ8" s="33">
        <v>1.4</v>
      </c>
      <c r="BA8" s="33">
        <v>0.89</v>
      </c>
      <c r="BB8" s="32"/>
      <c r="BC8" s="619">
        <f t="shared" ref="BC8:BC20" si="3">SUM(AR8:AV8)/AZ8</f>
        <v>7.8571428571428584E-2</v>
      </c>
      <c r="BD8" s="610">
        <f t="shared" ref="BD8:BD20" si="4">(SUM(AW8:AY8)-AV8)/BA8</f>
        <v>1</v>
      </c>
      <c r="BF8" s="610">
        <f t="shared" ref="BF8:BF20" si="5">E8/35.5</f>
        <v>5.3521126760563379E-4</v>
      </c>
      <c r="BG8" s="610">
        <f t="shared" ref="BG8:BG20" si="6">F8/62</f>
        <v>3.3870967741935483E-3</v>
      </c>
      <c r="BH8" s="610">
        <f t="shared" ref="BH8:BH20" si="7">G8/(96/2)</f>
        <v>2.0833333333333332E-2</v>
      </c>
      <c r="BI8" s="610">
        <f t="shared" ref="BI8:BI20" si="8">H8/23</f>
        <v>2.8695652173913043E-3</v>
      </c>
      <c r="BJ8" s="610">
        <f t="shared" ref="BJ8:BJ20" si="9">I8/18</f>
        <v>1.8333333333333333E-2</v>
      </c>
      <c r="BK8" s="610">
        <f t="shared" ref="BK8:BK20" si="10">J8/39</f>
        <v>8.7179487179487182E-4</v>
      </c>
      <c r="BL8" s="610">
        <f t="shared" ref="BL8:BL20" si="11">K8/(24.3/2)</f>
        <v>7.407407407407407E-4</v>
      </c>
      <c r="BM8" s="610">
        <f t="shared" ref="BM8:BM20" si="12">L8/(40/2)</f>
        <v>7.5000000000000002E-4</v>
      </c>
      <c r="BN8" s="563">
        <f t="shared" ref="BN8:BN20" si="13">SUM(BF8:BH8)*1000</f>
        <v>24.755641375132512</v>
      </c>
      <c r="BO8" s="563">
        <f t="shared" ref="BO8:BO20" si="14">SUM(BI8:BM8)*1000</f>
        <v>23.56543416326025</v>
      </c>
      <c r="BP8" s="611">
        <f t="shared" ref="BP8:BP20" si="15">BN8/BO8</f>
        <v>1.0505064835057383</v>
      </c>
      <c r="BR8" s="564">
        <f t="shared" ref="BR8:BR20" si="16">1.375*G8</f>
        <v>1.375</v>
      </c>
      <c r="BS8" s="564">
        <f t="shared" ref="BS8:BS20" si="17">1.29*F8</f>
        <v>0.27089999999999997</v>
      </c>
      <c r="BT8" s="564">
        <f t="shared" ref="BT8:BT20" si="18">2.5*H8</f>
        <v>0.16500000000000001</v>
      </c>
      <c r="BU8" s="564">
        <f t="shared" ref="BU8:BU20" si="19">1.6*AZ8</f>
        <v>2.2399999999999998</v>
      </c>
      <c r="BV8" s="564">
        <f t="shared" ref="BV8:BV20" si="20">BA8</f>
        <v>0.89</v>
      </c>
      <c r="BW8" s="564">
        <f t="shared" ref="BW8:BW20" si="21">9.19/1000*N8</f>
        <v>0.22975000000000001</v>
      </c>
      <c r="BX8" s="564">
        <f t="shared" si="0"/>
        <v>5.5999999999999994E-2</v>
      </c>
      <c r="BY8" s="564">
        <f t="shared" ref="BY8:BY20" si="22">W8/1000*1.38</f>
        <v>0.11592</v>
      </c>
      <c r="BZ8" s="564">
        <f t="shared" ref="BZ8:BZ20" si="23">S8/1000*1.67</f>
        <v>3.3400000000000001E-3</v>
      </c>
      <c r="CA8" s="564">
        <f t="shared" ref="CA8:CA20" si="24">SUM(BR8:BZ8)</f>
        <v>5.3459099999999991</v>
      </c>
      <c r="CB8" s="611">
        <f t="shared" ref="CB8:CB20" si="25">CA8/D8</f>
        <v>0.74248749999999986</v>
      </c>
      <c r="CD8" s="610">
        <f t="shared" ref="CD8:CD20" si="26">AZ8/(AZ8+BA8)</f>
        <v>0.611353711790393</v>
      </c>
      <c r="CE8" s="610">
        <f t="shared" ref="CE8:CE20" si="27">BB8/AZ8</f>
        <v>0</v>
      </c>
      <c r="CF8" s="610">
        <f t="shared" si="1"/>
        <v>0.48</v>
      </c>
      <c r="CG8" s="610" t="e">
        <f t="shared" si="2"/>
        <v>#VALUE!</v>
      </c>
    </row>
    <row r="9" spans="2:85" ht="20.149999999999999" customHeight="1" x14ac:dyDescent="0.2">
      <c r="B9" s="31" t="s">
        <v>61</v>
      </c>
      <c r="C9" s="37" t="s">
        <v>200</v>
      </c>
      <c r="D9" s="33">
        <v>16.899999999999999</v>
      </c>
      <c r="E9" s="34">
        <v>0.03</v>
      </c>
      <c r="F9" s="35">
        <v>0.45</v>
      </c>
      <c r="G9" s="35">
        <v>2.2000000000000002</v>
      </c>
      <c r="H9" s="36">
        <v>2.8000000000000001E-2</v>
      </c>
      <c r="I9" s="35">
        <v>0.77</v>
      </c>
      <c r="J9" s="35">
        <v>5.8000000000000003E-2</v>
      </c>
      <c r="K9" s="35">
        <v>7.0000000000000001E-3</v>
      </c>
      <c r="L9" s="32">
        <v>0.03</v>
      </c>
      <c r="M9" s="34">
        <v>81</v>
      </c>
      <c r="N9" s="35">
        <v>80</v>
      </c>
      <c r="O9" s="35">
        <v>70</v>
      </c>
      <c r="P9" s="35">
        <v>110</v>
      </c>
      <c r="Q9" s="35">
        <v>60</v>
      </c>
      <c r="R9" s="35" t="s">
        <v>253</v>
      </c>
      <c r="S9" s="35">
        <v>6</v>
      </c>
      <c r="T9" s="35">
        <v>1.7</v>
      </c>
      <c r="U9" s="35">
        <v>2</v>
      </c>
      <c r="V9" s="35">
        <v>8.2000000000000011</v>
      </c>
      <c r="W9" s="35">
        <v>110</v>
      </c>
      <c r="X9" s="35">
        <v>0.2</v>
      </c>
      <c r="Y9" s="35">
        <v>2.8</v>
      </c>
      <c r="Z9" s="35">
        <v>5.7</v>
      </c>
      <c r="AA9" s="35">
        <v>35</v>
      </c>
      <c r="AB9" s="35">
        <v>0.6</v>
      </c>
      <c r="AC9" s="35">
        <v>1</v>
      </c>
      <c r="AD9" s="35">
        <v>0.23</v>
      </c>
      <c r="AE9" s="35">
        <v>0.7</v>
      </c>
      <c r="AF9" s="35">
        <v>1.3</v>
      </c>
      <c r="AG9" s="35" t="s">
        <v>253</v>
      </c>
      <c r="AH9" s="35">
        <v>7.7</v>
      </c>
      <c r="AI9" s="35">
        <v>0.12000000000000001</v>
      </c>
      <c r="AJ9" s="35">
        <v>0.25</v>
      </c>
      <c r="AK9" s="35" t="s">
        <v>257</v>
      </c>
      <c r="AL9" s="33" t="s">
        <v>258</v>
      </c>
      <c r="AM9" s="33">
        <v>0.2</v>
      </c>
      <c r="AN9" s="33" t="s">
        <v>259</v>
      </c>
      <c r="AO9" s="33" t="s">
        <v>253</v>
      </c>
      <c r="AP9" s="35">
        <v>3.5</v>
      </c>
      <c r="AQ9" s="32"/>
      <c r="AR9" s="34" t="s">
        <v>260</v>
      </c>
      <c r="AS9" s="36">
        <v>0.9</v>
      </c>
      <c r="AT9" s="36">
        <v>1.2</v>
      </c>
      <c r="AU9" s="36" t="s">
        <v>260</v>
      </c>
      <c r="AV9" s="36">
        <v>0.56999999999999995</v>
      </c>
      <c r="AW9" s="35">
        <v>1.3</v>
      </c>
      <c r="AX9" s="33">
        <v>0.77</v>
      </c>
      <c r="AY9" s="33">
        <v>7.0000000000000007E-2</v>
      </c>
      <c r="AZ9" s="33">
        <v>3</v>
      </c>
      <c r="BA9" s="33">
        <v>1.6</v>
      </c>
      <c r="BB9" s="32"/>
      <c r="BC9" s="619">
        <f t="shared" si="3"/>
        <v>0.89</v>
      </c>
      <c r="BD9" s="610">
        <f t="shared" si="4"/>
        <v>0.98125000000000018</v>
      </c>
      <c r="BF9" s="610">
        <f t="shared" si="5"/>
        <v>8.450704225352112E-4</v>
      </c>
      <c r="BG9" s="610">
        <f t="shared" si="6"/>
        <v>7.2580645161290326E-3</v>
      </c>
      <c r="BH9" s="610">
        <f t="shared" si="7"/>
        <v>4.5833333333333337E-2</v>
      </c>
      <c r="BI9" s="610">
        <f t="shared" si="8"/>
        <v>1.2173913043478262E-3</v>
      </c>
      <c r="BJ9" s="610">
        <f t="shared" si="9"/>
        <v>4.2777777777777776E-2</v>
      </c>
      <c r="BK9" s="610">
        <f t="shared" si="10"/>
        <v>1.4871794871794872E-3</v>
      </c>
      <c r="BL9" s="610">
        <f t="shared" si="11"/>
        <v>5.7613168724279839E-4</v>
      </c>
      <c r="BM9" s="610">
        <f t="shared" si="12"/>
        <v>1.5E-3</v>
      </c>
      <c r="BN9" s="563">
        <f t="shared" si="13"/>
        <v>53.936468271997576</v>
      </c>
      <c r="BO9" s="563">
        <f t="shared" si="14"/>
        <v>47.558480256547888</v>
      </c>
      <c r="BP9" s="611">
        <f t="shared" si="15"/>
        <v>1.1341083226596915</v>
      </c>
      <c r="BR9" s="564">
        <f t="shared" si="16"/>
        <v>3.0250000000000004</v>
      </c>
      <c r="BS9" s="564">
        <f t="shared" si="17"/>
        <v>0.58050000000000002</v>
      </c>
      <c r="BT9" s="564">
        <f t="shared" si="18"/>
        <v>7.0000000000000007E-2</v>
      </c>
      <c r="BU9" s="564">
        <f t="shared" si="19"/>
        <v>4.8000000000000007</v>
      </c>
      <c r="BV9" s="564">
        <f t="shared" si="20"/>
        <v>1.6</v>
      </c>
      <c r="BW9" s="564">
        <f t="shared" si="21"/>
        <v>0.73520000000000008</v>
      </c>
      <c r="BX9" s="564">
        <f t="shared" si="0"/>
        <v>8.3999999999999991E-2</v>
      </c>
      <c r="BY9" s="564">
        <f t="shared" si="22"/>
        <v>0.15179999999999999</v>
      </c>
      <c r="BZ9" s="564">
        <f t="shared" si="23"/>
        <v>1.0019999999999999E-2</v>
      </c>
      <c r="CA9" s="564">
        <f t="shared" si="24"/>
        <v>11.056520000000001</v>
      </c>
      <c r="CB9" s="611">
        <f t="shared" si="25"/>
        <v>0.65423195266272205</v>
      </c>
      <c r="CD9" s="610">
        <f t="shared" si="26"/>
        <v>0.65217391304347827</v>
      </c>
      <c r="CE9" s="610">
        <f t="shared" si="27"/>
        <v>0</v>
      </c>
      <c r="CF9" s="610">
        <f t="shared" si="1"/>
        <v>0.73000000000000009</v>
      </c>
      <c r="CG9" s="610">
        <f t="shared" si="2"/>
        <v>0.84000000000000008</v>
      </c>
    </row>
    <row r="10" spans="2:85" ht="20.149999999999999" customHeight="1" x14ac:dyDescent="0.2">
      <c r="B10" s="31" t="s">
        <v>61</v>
      </c>
      <c r="C10" s="32" t="s">
        <v>82</v>
      </c>
      <c r="D10" s="33">
        <v>27.4</v>
      </c>
      <c r="E10" s="34">
        <v>1.6E-2</v>
      </c>
      <c r="F10" s="35">
        <v>0.21</v>
      </c>
      <c r="G10" s="35">
        <v>5.8</v>
      </c>
      <c r="H10" s="36">
        <v>0.15</v>
      </c>
      <c r="I10" s="35">
        <v>1.9</v>
      </c>
      <c r="J10" s="35">
        <v>0.36</v>
      </c>
      <c r="K10" s="35">
        <v>5.0999999999999997E-2</v>
      </c>
      <c r="L10" s="32">
        <v>0.03</v>
      </c>
      <c r="M10" s="34">
        <v>220</v>
      </c>
      <c r="N10" s="35">
        <v>80</v>
      </c>
      <c r="O10" s="35">
        <v>60</v>
      </c>
      <c r="P10" s="35">
        <v>390</v>
      </c>
      <c r="Q10" s="35">
        <v>50</v>
      </c>
      <c r="R10" s="35" t="s">
        <v>253</v>
      </c>
      <c r="S10" s="35">
        <v>5</v>
      </c>
      <c r="T10" s="35">
        <v>5.7</v>
      </c>
      <c r="U10" s="35">
        <v>3</v>
      </c>
      <c r="V10" s="35">
        <v>7</v>
      </c>
      <c r="W10" s="35">
        <v>120</v>
      </c>
      <c r="X10" s="35">
        <v>0.1</v>
      </c>
      <c r="Y10" s="35">
        <v>3.9</v>
      </c>
      <c r="Z10" s="35">
        <v>15</v>
      </c>
      <c r="AA10" s="35">
        <v>38</v>
      </c>
      <c r="AB10" s="35">
        <v>0.5</v>
      </c>
      <c r="AC10" s="35">
        <v>1.3</v>
      </c>
      <c r="AD10" s="35">
        <v>0.3</v>
      </c>
      <c r="AE10" s="35">
        <v>0.9</v>
      </c>
      <c r="AF10" s="35">
        <v>3.3</v>
      </c>
      <c r="AG10" s="35" t="s">
        <v>253</v>
      </c>
      <c r="AH10" s="35">
        <v>27</v>
      </c>
      <c r="AI10" s="35">
        <v>0.12999999999999998</v>
      </c>
      <c r="AJ10" s="35">
        <v>0.2</v>
      </c>
      <c r="AK10" s="35" t="s">
        <v>257</v>
      </c>
      <c r="AL10" s="33" t="s">
        <v>258</v>
      </c>
      <c r="AM10" s="33">
        <v>0.4</v>
      </c>
      <c r="AN10" s="33" t="s">
        <v>259</v>
      </c>
      <c r="AO10" s="33" t="s">
        <v>253</v>
      </c>
      <c r="AP10" s="35">
        <v>5.6</v>
      </c>
      <c r="AQ10" s="32"/>
      <c r="AR10" s="34" t="s">
        <v>260</v>
      </c>
      <c r="AS10" s="36">
        <v>1.7</v>
      </c>
      <c r="AT10" s="36">
        <v>1.6</v>
      </c>
      <c r="AU10" s="36">
        <v>1</v>
      </c>
      <c r="AV10" s="36">
        <v>1.2</v>
      </c>
      <c r="AW10" s="35">
        <v>2.2999999999999998</v>
      </c>
      <c r="AX10" s="33">
        <v>0.48</v>
      </c>
      <c r="AY10" s="33">
        <v>0.04</v>
      </c>
      <c r="AZ10" s="33">
        <v>6</v>
      </c>
      <c r="BA10" s="33">
        <v>1.6</v>
      </c>
      <c r="BB10" s="32"/>
      <c r="BC10" s="619">
        <f t="shared" si="3"/>
        <v>0.91666666666666663</v>
      </c>
      <c r="BD10" s="610">
        <f t="shared" si="4"/>
        <v>1.0125</v>
      </c>
      <c r="BF10" s="610">
        <f t="shared" si="5"/>
        <v>4.5070422535211269E-4</v>
      </c>
      <c r="BG10" s="610">
        <f t="shared" si="6"/>
        <v>3.3870967741935483E-3</v>
      </c>
      <c r="BH10" s="610">
        <f t="shared" si="7"/>
        <v>0.12083333333333333</v>
      </c>
      <c r="BI10" s="610">
        <f t="shared" si="8"/>
        <v>6.5217391304347823E-3</v>
      </c>
      <c r="BJ10" s="610">
        <f t="shared" si="9"/>
        <v>0.10555555555555556</v>
      </c>
      <c r="BK10" s="610">
        <f t="shared" si="10"/>
        <v>9.2307692307692299E-3</v>
      </c>
      <c r="BL10" s="610">
        <f t="shared" si="11"/>
        <v>4.19753086419753E-3</v>
      </c>
      <c r="BM10" s="610">
        <f t="shared" si="12"/>
        <v>1.5E-3</v>
      </c>
      <c r="BN10" s="563">
        <f t="shared" si="13"/>
        <v>124.67113433287899</v>
      </c>
      <c r="BO10" s="563">
        <f t="shared" si="14"/>
        <v>127.00559478095711</v>
      </c>
      <c r="BP10" s="611">
        <f t="shared" si="15"/>
        <v>0.9816192314039055</v>
      </c>
      <c r="BR10" s="564">
        <f t="shared" si="16"/>
        <v>7.9749999999999996</v>
      </c>
      <c r="BS10" s="564">
        <f t="shared" si="17"/>
        <v>0.27089999999999997</v>
      </c>
      <c r="BT10" s="564">
        <f t="shared" si="18"/>
        <v>0.375</v>
      </c>
      <c r="BU10" s="564">
        <f t="shared" si="19"/>
        <v>9.6000000000000014</v>
      </c>
      <c r="BV10" s="564">
        <f t="shared" si="20"/>
        <v>1.6</v>
      </c>
      <c r="BW10" s="564">
        <f t="shared" si="21"/>
        <v>0.73520000000000008</v>
      </c>
      <c r="BX10" s="564">
        <f t="shared" si="0"/>
        <v>6.9999999999999993E-2</v>
      </c>
      <c r="BY10" s="564">
        <f t="shared" si="22"/>
        <v>0.16559999999999997</v>
      </c>
      <c r="BZ10" s="564">
        <f t="shared" si="23"/>
        <v>8.3499999999999998E-3</v>
      </c>
      <c r="CA10" s="564">
        <f t="shared" si="24"/>
        <v>20.800050000000002</v>
      </c>
      <c r="CB10" s="611">
        <f t="shared" si="25"/>
        <v>0.75912591240875926</v>
      </c>
      <c r="CD10" s="610">
        <f t="shared" si="26"/>
        <v>0.78947368421052633</v>
      </c>
      <c r="CE10" s="610">
        <f t="shared" si="27"/>
        <v>0</v>
      </c>
      <c r="CF10" s="610">
        <f t="shared" si="1"/>
        <v>1.0999999999999999</v>
      </c>
      <c r="CG10" s="610">
        <f t="shared" si="2"/>
        <v>0.52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27.9</v>
      </c>
      <c r="E11" s="42">
        <v>0.03</v>
      </c>
      <c r="F11" s="43">
        <v>0.39</v>
      </c>
      <c r="G11" s="43">
        <v>8.8000000000000007</v>
      </c>
      <c r="H11" s="44">
        <v>0.27</v>
      </c>
      <c r="I11" s="43">
        <v>3</v>
      </c>
      <c r="J11" s="43">
        <v>0.24</v>
      </c>
      <c r="K11" s="43">
        <v>4.7E-2</v>
      </c>
      <c r="L11" s="45">
        <v>0.05</v>
      </c>
      <c r="M11" s="42">
        <v>310</v>
      </c>
      <c r="N11" s="43">
        <v>40</v>
      </c>
      <c r="O11" s="43">
        <v>50</v>
      </c>
      <c r="P11" s="43">
        <v>230</v>
      </c>
      <c r="Q11" s="43">
        <v>50</v>
      </c>
      <c r="R11" s="43" t="s">
        <v>253</v>
      </c>
      <c r="S11" s="43">
        <v>3</v>
      </c>
      <c r="T11" s="43">
        <v>9.9</v>
      </c>
      <c r="U11" s="43">
        <v>2</v>
      </c>
      <c r="V11" s="43">
        <v>6.2</v>
      </c>
      <c r="W11" s="43">
        <v>130</v>
      </c>
      <c r="X11" s="43">
        <v>0.08</v>
      </c>
      <c r="Y11" s="43">
        <v>3.6</v>
      </c>
      <c r="Z11" s="43">
        <v>7.4</v>
      </c>
      <c r="AA11" s="43">
        <v>36</v>
      </c>
      <c r="AB11" s="43">
        <v>0.6</v>
      </c>
      <c r="AC11" s="43">
        <v>2.4</v>
      </c>
      <c r="AD11" s="43">
        <v>0.3</v>
      </c>
      <c r="AE11" s="43">
        <v>1.3</v>
      </c>
      <c r="AF11" s="43">
        <v>1.5</v>
      </c>
      <c r="AG11" s="43" t="s">
        <v>253</v>
      </c>
      <c r="AH11" s="43">
        <v>13</v>
      </c>
      <c r="AI11" s="43">
        <v>0.2</v>
      </c>
      <c r="AJ11" s="43">
        <v>0.17</v>
      </c>
      <c r="AK11" s="43" t="s">
        <v>257</v>
      </c>
      <c r="AL11" s="41" t="s">
        <v>258</v>
      </c>
      <c r="AM11" s="41">
        <v>0.5</v>
      </c>
      <c r="AN11" s="41" t="s">
        <v>259</v>
      </c>
      <c r="AO11" s="41">
        <v>0.04</v>
      </c>
      <c r="AP11" s="43">
        <v>5.2</v>
      </c>
      <c r="AQ11" s="45"/>
      <c r="AR11" s="42" t="s">
        <v>260</v>
      </c>
      <c r="AS11" s="44">
        <v>1.3</v>
      </c>
      <c r="AT11" s="44">
        <v>1.1000000000000001</v>
      </c>
      <c r="AU11" s="44" t="s">
        <v>260</v>
      </c>
      <c r="AV11" s="44">
        <v>1.4</v>
      </c>
      <c r="AW11" s="43">
        <v>2.2000000000000002</v>
      </c>
      <c r="AX11" s="41">
        <v>0.51</v>
      </c>
      <c r="AY11" s="41" t="s">
        <v>253</v>
      </c>
      <c r="AZ11" s="41">
        <v>5</v>
      </c>
      <c r="BA11" s="41">
        <v>1.4</v>
      </c>
      <c r="BB11" s="45"/>
      <c r="BC11" s="620">
        <f t="shared" si="3"/>
        <v>0.76</v>
      </c>
      <c r="BD11" s="617">
        <f t="shared" si="4"/>
        <v>0.93571428571428583</v>
      </c>
      <c r="BE11" s="616"/>
      <c r="BF11" s="617">
        <f t="shared" si="5"/>
        <v>8.450704225352112E-4</v>
      </c>
      <c r="BG11" s="617">
        <f t="shared" si="6"/>
        <v>6.2903225806451614E-3</v>
      </c>
      <c r="BH11" s="617">
        <f t="shared" si="7"/>
        <v>0.18333333333333335</v>
      </c>
      <c r="BI11" s="617">
        <f t="shared" si="8"/>
        <v>1.173913043478261E-2</v>
      </c>
      <c r="BJ11" s="617">
        <f t="shared" si="9"/>
        <v>0.16666666666666666</v>
      </c>
      <c r="BK11" s="617">
        <f t="shared" si="10"/>
        <v>6.1538461538461538E-3</v>
      </c>
      <c r="BL11" s="617">
        <f t="shared" si="11"/>
        <v>3.8683127572016461E-3</v>
      </c>
      <c r="BM11" s="617">
        <f t="shared" si="12"/>
        <v>2.5000000000000001E-3</v>
      </c>
      <c r="BN11" s="621">
        <f t="shared" si="13"/>
        <v>190.4687263365137</v>
      </c>
      <c r="BO11" s="621">
        <f t="shared" si="14"/>
        <v>190.92795601249708</v>
      </c>
      <c r="BP11" s="618">
        <f t="shared" si="15"/>
        <v>0.99759474890123834</v>
      </c>
      <c r="BQ11" s="616"/>
      <c r="BR11" s="615">
        <f t="shared" si="16"/>
        <v>12.100000000000001</v>
      </c>
      <c r="BS11" s="615">
        <f t="shared" si="17"/>
        <v>0.50309999999999999</v>
      </c>
      <c r="BT11" s="615">
        <f t="shared" si="18"/>
        <v>0.67500000000000004</v>
      </c>
      <c r="BU11" s="615">
        <f t="shared" si="19"/>
        <v>8</v>
      </c>
      <c r="BV11" s="615">
        <f t="shared" si="20"/>
        <v>1.4</v>
      </c>
      <c r="BW11" s="615">
        <f t="shared" si="21"/>
        <v>0.36760000000000004</v>
      </c>
      <c r="BX11" s="615">
        <f t="shared" si="0"/>
        <v>6.9999999999999993E-2</v>
      </c>
      <c r="BY11" s="615">
        <f t="shared" si="22"/>
        <v>0.1794</v>
      </c>
      <c r="BZ11" s="615">
        <f t="shared" si="23"/>
        <v>5.0099999999999997E-3</v>
      </c>
      <c r="CA11" s="615">
        <f t="shared" si="24"/>
        <v>23.30011</v>
      </c>
      <c r="CB11" s="618">
        <f t="shared" si="25"/>
        <v>0.83512939068100367</v>
      </c>
      <c r="CC11" s="617"/>
      <c r="CD11" s="617">
        <f t="shared" si="26"/>
        <v>0.78125</v>
      </c>
      <c r="CE11" s="617">
        <f t="shared" si="27"/>
        <v>0</v>
      </c>
      <c r="CF11" s="617">
        <f t="shared" si="1"/>
        <v>0.80000000000000027</v>
      </c>
      <c r="CG11" s="617" t="e">
        <f t="shared" si="2"/>
        <v>#VALUE!</v>
      </c>
    </row>
    <row r="12" spans="2:85" ht="20.149999999999999" customHeight="1" x14ac:dyDescent="0.2">
      <c r="B12" s="31" t="s">
        <v>202</v>
      </c>
      <c r="C12" s="46" t="s">
        <v>203</v>
      </c>
      <c r="D12" s="47">
        <v>21.5</v>
      </c>
      <c r="E12" s="48">
        <v>0.23</v>
      </c>
      <c r="F12" s="49">
        <v>0.28000000000000003</v>
      </c>
      <c r="G12" s="49">
        <v>6.3</v>
      </c>
      <c r="H12" s="50">
        <v>0.38</v>
      </c>
      <c r="I12" s="49">
        <v>2.1</v>
      </c>
      <c r="J12" s="49">
        <v>0.13</v>
      </c>
      <c r="K12" s="49">
        <v>5.0999999999999997E-2</v>
      </c>
      <c r="L12" s="37">
        <v>0.04</v>
      </c>
      <c r="M12" s="48">
        <v>480</v>
      </c>
      <c r="N12" s="49">
        <v>50</v>
      </c>
      <c r="O12" s="49">
        <v>40</v>
      </c>
      <c r="P12" s="49">
        <v>140</v>
      </c>
      <c r="Q12" s="49">
        <v>50</v>
      </c>
      <c r="R12" s="625">
        <f t="shared" ref="R12:R18" si="28">0.5*0.03</f>
        <v>1.4999999999999999E-2</v>
      </c>
      <c r="S12" s="49">
        <v>3</v>
      </c>
      <c r="T12" s="49">
        <v>7.6</v>
      </c>
      <c r="U12" s="49">
        <v>2</v>
      </c>
      <c r="V12" s="49">
        <v>5.8</v>
      </c>
      <c r="W12" s="49">
        <v>110</v>
      </c>
      <c r="X12" s="49">
        <v>0.05</v>
      </c>
      <c r="Y12" s="49">
        <v>2.6</v>
      </c>
      <c r="Z12" s="49">
        <v>4.8999999999999995</v>
      </c>
      <c r="AA12" s="49">
        <v>28</v>
      </c>
      <c r="AB12" s="49">
        <v>0.4</v>
      </c>
      <c r="AC12" s="49">
        <v>1.3</v>
      </c>
      <c r="AD12" s="49">
        <v>0.28999999999999998</v>
      </c>
      <c r="AE12" s="49">
        <v>0.7</v>
      </c>
      <c r="AF12" s="49">
        <v>1.7</v>
      </c>
      <c r="AG12" s="625">
        <f>0.5*0.03</f>
        <v>1.4999999999999999E-2</v>
      </c>
      <c r="AH12" s="49">
        <v>7.1000000000000005</v>
      </c>
      <c r="AI12" s="49">
        <v>0.2</v>
      </c>
      <c r="AJ12" s="49">
        <v>0.2</v>
      </c>
      <c r="AK12" s="625">
        <f t="shared" ref="AK12:AK18" si="29">0.5*0.04</f>
        <v>0.02</v>
      </c>
      <c r="AL12" s="627">
        <f t="shared" ref="AL12:AL18" si="30">0.5*0.07</f>
        <v>3.5000000000000003E-2</v>
      </c>
      <c r="AM12" s="47">
        <v>0.4</v>
      </c>
      <c r="AN12" s="627">
        <f t="shared" ref="AN12:AN18" si="31">0.5*0.02</f>
        <v>0.01</v>
      </c>
      <c r="AO12" s="627">
        <f t="shared" ref="AO12:AO18" si="32">0.5*0.03</f>
        <v>1.4999999999999999E-2</v>
      </c>
      <c r="AP12" s="49">
        <v>5</v>
      </c>
      <c r="AQ12" s="37"/>
      <c r="AR12" s="630">
        <f t="shared" ref="AR12:AR18" si="33">0.5*0.9</f>
        <v>0.45</v>
      </c>
      <c r="AS12" s="50">
        <v>1</v>
      </c>
      <c r="AT12" s="50">
        <v>0.9</v>
      </c>
      <c r="AU12" s="663">
        <f t="shared" ref="AU12:AU18" si="34">0.5*0.9</f>
        <v>0.45</v>
      </c>
      <c r="AV12" s="50">
        <v>0.88</v>
      </c>
      <c r="AW12" s="49">
        <v>1.6</v>
      </c>
      <c r="AX12" s="47">
        <v>0.56999999999999995</v>
      </c>
      <c r="AY12" s="627">
        <f>0.5*0.03</f>
        <v>1.4999999999999999E-2</v>
      </c>
      <c r="AZ12" s="47">
        <v>3</v>
      </c>
      <c r="BA12" s="47">
        <v>1.3</v>
      </c>
      <c r="BB12" s="37"/>
      <c r="BC12" s="619">
        <f t="shared" si="3"/>
        <v>1.2266666666666668</v>
      </c>
      <c r="BD12" s="610">
        <f t="shared" si="4"/>
        <v>1.0038461538461538</v>
      </c>
      <c r="BF12" s="610">
        <f t="shared" si="5"/>
        <v>6.4788732394366203E-3</v>
      </c>
      <c r="BG12" s="610">
        <f t="shared" si="6"/>
        <v>4.5161290322580649E-3</v>
      </c>
      <c r="BH12" s="610">
        <f t="shared" si="7"/>
        <v>0.13125000000000001</v>
      </c>
      <c r="BI12" s="610">
        <f t="shared" si="8"/>
        <v>1.6521739130434782E-2</v>
      </c>
      <c r="BJ12" s="610">
        <f t="shared" si="9"/>
        <v>0.11666666666666667</v>
      </c>
      <c r="BK12" s="610">
        <f t="shared" si="10"/>
        <v>3.3333333333333335E-3</v>
      </c>
      <c r="BL12" s="610">
        <f t="shared" si="11"/>
        <v>4.19753086419753E-3</v>
      </c>
      <c r="BM12" s="610">
        <f t="shared" si="12"/>
        <v>2E-3</v>
      </c>
      <c r="BN12" s="563">
        <f t="shared" si="13"/>
        <v>142.24500227169469</v>
      </c>
      <c r="BO12" s="563">
        <f t="shared" si="14"/>
        <v>142.7192699946323</v>
      </c>
      <c r="BP12" s="611">
        <f t="shared" si="15"/>
        <v>0.99667691880041531</v>
      </c>
      <c r="BR12" s="564">
        <f t="shared" si="16"/>
        <v>8.6624999999999996</v>
      </c>
      <c r="BS12" s="564">
        <f t="shared" si="17"/>
        <v>0.36120000000000002</v>
      </c>
      <c r="BT12" s="564">
        <f t="shared" si="18"/>
        <v>0.95</v>
      </c>
      <c r="BU12" s="564">
        <f t="shared" si="19"/>
        <v>4.8000000000000007</v>
      </c>
      <c r="BV12" s="564">
        <f t="shared" si="20"/>
        <v>1.3</v>
      </c>
      <c r="BW12" s="564">
        <f t="shared" si="21"/>
        <v>0.45950000000000002</v>
      </c>
      <c r="BX12" s="564">
        <f t="shared" si="0"/>
        <v>6.9999999999999993E-2</v>
      </c>
      <c r="BY12" s="564">
        <f t="shared" si="22"/>
        <v>0.15179999999999999</v>
      </c>
      <c r="BZ12" s="564">
        <f t="shared" si="23"/>
        <v>5.0099999999999997E-3</v>
      </c>
      <c r="CA12" s="564">
        <f t="shared" si="24"/>
        <v>16.760009999999998</v>
      </c>
      <c r="CB12" s="611">
        <f t="shared" si="25"/>
        <v>0.77953534883720921</v>
      </c>
      <c r="CC12" s="610"/>
      <c r="CD12" s="610">
        <f t="shared" si="26"/>
        <v>0.69767441860465118</v>
      </c>
      <c r="CE12" s="610">
        <f t="shared" si="27"/>
        <v>0</v>
      </c>
      <c r="CF12" s="610">
        <f t="shared" si="1"/>
        <v>0.72000000000000008</v>
      </c>
      <c r="CG12" s="610">
        <f t="shared" si="2"/>
        <v>0.58499999999999996</v>
      </c>
    </row>
    <row r="13" spans="2:85" ht="20.149999999999999" customHeight="1" x14ac:dyDescent="0.2">
      <c r="B13" s="31" t="s">
        <v>202</v>
      </c>
      <c r="C13" s="40" t="s">
        <v>204</v>
      </c>
      <c r="D13" s="33">
        <v>29.2</v>
      </c>
      <c r="E13" s="34">
        <v>0.2</v>
      </c>
      <c r="F13" s="35">
        <v>0.21</v>
      </c>
      <c r="G13" s="35">
        <v>6.1</v>
      </c>
      <c r="H13" s="36">
        <v>6.3E-2</v>
      </c>
      <c r="I13" s="35">
        <v>2.2999999999999998</v>
      </c>
      <c r="J13" s="35">
        <v>6.5000000000000002E-2</v>
      </c>
      <c r="K13" s="35">
        <v>8.9999999999999993E-3</v>
      </c>
      <c r="L13" s="32">
        <v>0.03</v>
      </c>
      <c r="M13" s="34">
        <v>280</v>
      </c>
      <c r="N13" s="35">
        <v>40</v>
      </c>
      <c r="O13" s="35">
        <v>50</v>
      </c>
      <c r="P13" s="35">
        <v>120</v>
      </c>
      <c r="Q13" s="35">
        <v>50</v>
      </c>
      <c r="R13" s="624">
        <f t="shared" si="28"/>
        <v>1.4999999999999999E-2</v>
      </c>
      <c r="S13" s="35">
        <v>3</v>
      </c>
      <c r="T13" s="35">
        <v>14</v>
      </c>
      <c r="U13" s="35">
        <v>2</v>
      </c>
      <c r="V13" s="35">
        <v>9</v>
      </c>
      <c r="W13" s="35">
        <v>190</v>
      </c>
      <c r="X13" s="35">
        <v>6.9999999999999993E-2</v>
      </c>
      <c r="Y13" s="35">
        <v>4.4000000000000004</v>
      </c>
      <c r="Z13" s="35">
        <v>5</v>
      </c>
      <c r="AA13" s="35">
        <v>41</v>
      </c>
      <c r="AB13" s="35">
        <v>1.2</v>
      </c>
      <c r="AC13" s="35">
        <v>1.7</v>
      </c>
      <c r="AD13" s="35">
        <v>0.3</v>
      </c>
      <c r="AE13" s="35">
        <v>1</v>
      </c>
      <c r="AF13" s="35">
        <v>1.3</v>
      </c>
      <c r="AG13" s="35">
        <v>3.0000000000000002E-2</v>
      </c>
      <c r="AH13" s="35">
        <v>5.5</v>
      </c>
      <c r="AI13" s="35">
        <v>0.4</v>
      </c>
      <c r="AJ13" s="35">
        <v>0.3</v>
      </c>
      <c r="AK13" s="624">
        <f t="shared" si="29"/>
        <v>0.02</v>
      </c>
      <c r="AL13" s="628">
        <f t="shared" si="30"/>
        <v>3.5000000000000003E-2</v>
      </c>
      <c r="AM13" s="33">
        <v>0.3</v>
      </c>
      <c r="AN13" s="628">
        <f t="shared" si="31"/>
        <v>0.01</v>
      </c>
      <c r="AO13" s="628">
        <f t="shared" si="32"/>
        <v>1.4999999999999999E-2</v>
      </c>
      <c r="AP13" s="35">
        <v>8.6999999999999993</v>
      </c>
      <c r="AQ13" s="32"/>
      <c r="AR13" s="623">
        <f t="shared" si="33"/>
        <v>0.45</v>
      </c>
      <c r="AS13" s="36">
        <v>1</v>
      </c>
      <c r="AT13" s="646">
        <f t="shared" ref="AT13:AT18" si="35">0.5*0.9</f>
        <v>0.45</v>
      </c>
      <c r="AU13" s="646">
        <f t="shared" si="34"/>
        <v>0.45</v>
      </c>
      <c r="AV13" s="36">
        <v>0.96</v>
      </c>
      <c r="AW13" s="35">
        <v>1.3</v>
      </c>
      <c r="AX13" s="33">
        <v>0.77</v>
      </c>
      <c r="AY13" s="33">
        <v>0.08</v>
      </c>
      <c r="AZ13" s="33">
        <v>3</v>
      </c>
      <c r="BA13" s="33">
        <v>1.2</v>
      </c>
      <c r="BB13" s="32"/>
      <c r="BC13" s="619">
        <f t="shared" si="3"/>
        <v>1.1033333333333333</v>
      </c>
      <c r="BD13" s="610">
        <f t="shared" si="4"/>
        <v>0.99166666666666703</v>
      </c>
      <c r="BF13" s="610">
        <f t="shared" si="5"/>
        <v>5.6338028169014088E-3</v>
      </c>
      <c r="BG13" s="610">
        <f t="shared" si="6"/>
        <v>3.3870967741935483E-3</v>
      </c>
      <c r="BH13" s="610">
        <f t="shared" si="7"/>
        <v>0.12708333333333333</v>
      </c>
      <c r="BI13" s="610">
        <f t="shared" si="8"/>
        <v>2.7391304347826086E-3</v>
      </c>
      <c r="BJ13" s="610">
        <f t="shared" si="9"/>
        <v>0.12777777777777777</v>
      </c>
      <c r="BK13" s="610">
        <f t="shared" si="10"/>
        <v>1.6666666666666668E-3</v>
      </c>
      <c r="BL13" s="610">
        <f t="shared" si="11"/>
        <v>7.407407407407407E-4</v>
      </c>
      <c r="BM13" s="610">
        <f t="shared" si="12"/>
        <v>1.5E-3</v>
      </c>
      <c r="BN13" s="563">
        <f t="shared" si="13"/>
        <v>136.10423292442829</v>
      </c>
      <c r="BO13" s="563">
        <f t="shared" si="14"/>
        <v>134.42431561996779</v>
      </c>
      <c r="BP13" s="611">
        <f t="shared" si="15"/>
        <v>1.012497123728789</v>
      </c>
      <c r="BR13" s="564">
        <f t="shared" si="16"/>
        <v>8.3874999999999993</v>
      </c>
      <c r="BS13" s="564">
        <f t="shared" si="17"/>
        <v>0.27089999999999997</v>
      </c>
      <c r="BT13" s="564">
        <f t="shared" si="18"/>
        <v>0.1575</v>
      </c>
      <c r="BU13" s="564">
        <f t="shared" si="19"/>
        <v>4.8000000000000007</v>
      </c>
      <c r="BV13" s="564">
        <f t="shared" si="20"/>
        <v>1.2</v>
      </c>
      <c r="BW13" s="564">
        <f t="shared" si="21"/>
        <v>0.36760000000000004</v>
      </c>
      <c r="BX13" s="564">
        <f t="shared" si="0"/>
        <v>6.9999999999999993E-2</v>
      </c>
      <c r="BY13" s="564">
        <f t="shared" si="22"/>
        <v>0.26219999999999999</v>
      </c>
      <c r="BZ13" s="564">
        <f t="shared" si="23"/>
        <v>5.0099999999999997E-3</v>
      </c>
      <c r="CA13" s="564">
        <f t="shared" si="24"/>
        <v>15.520709999999999</v>
      </c>
      <c r="CB13" s="611">
        <f t="shared" si="25"/>
        <v>0.53153116438356163</v>
      </c>
      <c r="CC13" s="610"/>
      <c r="CD13" s="610">
        <f t="shared" si="26"/>
        <v>0.7142857142857143</v>
      </c>
      <c r="CE13" s="610">
        <f t="shared" si="27"/>
        <v>0</v>
      </c>
      <c r="CF13" s="610">
        <f t="shared" ref="CF13:CF20" si="36">IF(AW13-AV13&gt;0,AW13-AV13,0)</f>
        <v>0.34000000000000008</v>
      </c>
      <c r="CG13" s="610">
        <f t="shared" ref="CG13:CG20" si="37">IF(AW13-AV13&gt;0,AX13+AY13,AW13+AX13+AY13-AV13)</f>
        <v>0.85</v>
      </c>
    </row>
    <row r="14" spans="2:85" ht="20.149999999999999" customHeight="1" x14ac:dyDescent="0.2">
      <c r="B14" s="31" t="s">
        <v>202</v>
      </c>
      <c r="C14" s="32" t="s">
        <v>205</v>
      </c>
      <c r="D14" s="33">
        <v>26.9</v>
      </c>
      <c r="E14" s="34">
        <v>0.04</v>
      </c>
      <c r="F14" s="35">
        <v>0.54</v>
      </c>
      <c r="G14" s="35">
        <v>11</v>
      </c>
      <c r="H14" s="36">
        <v>0.18</v>
      </c>
      <c r="I14" s="35">
        <v>3.8</v>
      </c>
      <c r="J14" s="35">
        <v>0.11</v>
      </c>
      <c r="K14" s="35">
        <v>2.1999999999999999E-2</v>
      </c>
      <c r="L14" s="32">
        <v>0.04</v>
      </c>
      <c r="M14" s="34">
        <v>220</v>
      </c>
      <c r="N14" s="35">
        <v>40</v>
      </c>
      <c r="O14" s="35">
        <v>80</v>
      </c>
      <c r="P14" s="35">
        <v>110</v>
      </c>
      <c r="Q14" s="35">
        <v>40</v>
      </c>
      <c r="R14" s="624">
        <f t="shared" si="28"/>
        <v>1.4999999999999999E-2</v>
      </c>
      <c r="S14" s="35">
        <v>3</v>
      </c>
      <c r="T14" s="35">
        <v>11</v>
      </c>
      <c r="U14" s="35">
        <v>1</v>
      </c>
      <c r="V14" s="35">
        <v>6.6</v>
      </c>
      <c r="W14" s="35">
        <v>130</v>
      </c>
      <c r="X14" s="35">
        <v>6.9999999999999993E-2</v>
      </c>
      <c r="Y14" s="35">
        <v>4</v>
      </c>
      <c r="Z14" s="35">
        <v>5.5</v>
      </c>
      <c r="AA14" s="35">
        <v>33</v>
      </c>
      <c r="AB14" s="35">
        <v>1</v>
      </c>
      <c r="AC14" s="35">
        <v>1.4</v>
      </c>
      <c r="AD14" s="35">
        <v>0.3</v>
      </c>
      <c r="AE14" s="35">
        <v>0.7</v>
      </c>
      <c r="AF14" s="35">
        <v>1.2</v>
      </c>
      <c r="AG14" s="624">
        <f>0.5*0.03</f>
        <v>1.4999999999999999E-2</v>
      </c>
      <c r="AH14" s="35">
        <v>4.8999999999999995</v>
      </c>
      <c r="AI14" s="35">
        <v>0.3</v>
      </c>
      <c r="AJ14" s="35">
        <v>0.21000000000000002</v>
      </c>
      <c r="AK14" s="624">
        <f t="shared" si="29"/>
        <v>0.02</v>
      </c>
      <c r="AL14" s="628">
        <f t="shared" si="30"/>
        <v>3.5000000000000003E-2</v>
      </c>
      <c r="AM14" s="33">
        <v>0.4</v>
      </c>
      <c r="AN14" s="628">
        <f t="shared" si="31"/>
        <v>0.01</v>
      </c>
      <c r="AO14" s="628">
        <f t="shared" si="32"/>
        <v>1.4999999999999999E-2</v>
      </c>
      <c r="AP14" s="35">
        <v>5.7</v>
      </c>
      <c r="AQ14" s="32"/>
      <c r="AR14" s="623">
        <f t="shared" si="33"/>
        <v>0.45</v>
      </c>
      <c r="AS14" s="646">
        <f>0.5*0.9</f>
        <v>0.45</v>
      </c>
      <c r="AT14" s="646">
        <f t="shared" si="35"/>
        <v>0.45</v>
      </c>
      <c r="AU14" s="646">
        <f t="shared" si="34"/>
        <v>0.45</v>
      </c>
      <c r="AV14" s="36">
        <v>0.76</v>
      </c>
      <c r="AW14" s="35">
        <v>1.3</v>
      </c>
      <c r="AX14" s="33">
        <v>0.96</v>
      </c>
      <c r="AY14" s="33">
        <v>7.0000000000000007E-2</v>
      </c>
      <c r="AZ14" s="33">
        <v>2.6</v>
      </c>
      <c r="BA14" s="33">
        <v>1.5</v>
      </c>
      <c r="BB14" s="32"/>
      <c r="BC14" s="619">
        <f t="shared" si="3"/>
        <v>0.98461538461538456</v>
      </c>
      <c r="BD14" s="610">
        <f t="shared" si="4"/>
        <v>1.0466666666666664</v>
      </c>
      <c r="BF14" s="610">
        <f t="shared" si="5"/>
        <v>1.1267605633802818E-3</v>
      </c>
      <c r="BG14" s="610">
        <f t="shared" si="6"/>
        <v>8.7096774193548398E-3</v>
      </c>
      <c r="BH14" s="610">
        <f t="shared" si="7"/>
        <v>0.22916666666666666</v>
      </c>
      <c r="BI14" s="610">
        <f t="shared" si="8"/>
        <v>7.826086956521738E-3</v>
      </c>
      <c r="BJ14" s="610">
        <f t="shared" si="9"/>
        <v>0.21111111111111111</v>
      </c>
      <c r="BK14" s="610">
        <f t="shared" si="10"/>
        <v>2.8205128205128207E-3</v>
      </c>
      <c r="BL14" s="610">
        <f t="shared" si="11"/>
        <v>1.810699588477366E-3</v>
      </c>
      <c r="BM14" s="610">
        <f t="shared" si="12"/>
        <v>2E-3</v>
      </c>
      <c r="BN14" s="563">
        <f t="shared" si="13"/>
        <v>239.00310464940176</v>
      </c>
      <c r="BO14" s="563">
        <f t="shared" si="14"/>
        <v>225.56841047662306</v>
      </c>
      <c r="BP14" s="611">
        <f t="shared" si="15"/>
        <v>1.0595592891060914</v>
      </c>
      <c r="BR14" s="564">
        <f t="shared" si="16"/>
        <v>15.125</v>
      </c>
      <c r="BS14" s="564">
        <f t="shared" si="17"/>
        <v>0.69660000000000011</v>
      </c>
      <c r="BT14" s="564">
        <f t="shared" si="18"/>
        <v>0.44999999999999996</v>
      </c>
      <c r="BU14" s="564">
        <f t="shared" si="19"/>
        <v>4.16</v>
      </c>
      <c r="BV14" s="564">
        <f t="shared" si="20"/>
        <v>1.5</v>
      </c>
      <c r="BW14" s="564">
        <f t="shared" si="21"/>
        <v>0.36760000000000004</v>
      </c>
      <c r="BX14" s="564">
        <f t="shared" si="0"/>
        <v>5.5999999999999994E-2</v>
      </c>
      <c r="BY14" s="564">
        <f t="shared" si="22"/>
        <v>0.1794</v>
      </c>
      <c r="BZ14" s="564">
        <f t="shared" si="23"/>
        <v>5.0099999999999997E-3</v>
      </c>
      <c r="CA14" s="564">
        <f t="shared" si="24"/>
        <v>22.53961</v>
      </c>
      <c r="CB14" s="611">
        <f t="shared" si="25"/>
        <v>0.837903717472119</v>
      </c>
      <c r="CC14" s="610"/>
      <c r="CD14" s="610">
        <f t="shared" si="26"/>
        <v>0.63414634146341475</v>
      </c>
      <c r="CE14" s="610">
        <f t="shared" si="27"/>
        <v>0</v>
      </c>
      <c r="CF14" s="610">
        <f t="shared" si="36"/>
        <v>0.54</v>
      </c>
      <c r="CG14" s="610">
        <f t="shared" si="37"/>
        <v>1.03</v>
      </c>
    </row>
    <row r="15" spans="2:85" ht="20.149999999999999" customHeight="1" x14ac:dyDescent="0.2">
      <c r="B15" s="31" t="s">
        <v>202</v>
      </c>
      <c r="C15" s="32" t="s">
        <v>206</v>
      </c>
      <c r="D15" s="33">
        <v>25</v>
      </c>
      <c r="E15" s="34">
        <v>0.06</v>
      </c>
      <c r="F15" s="35">
        <v>0.69</v>
      </c>
      <c r="G15" s="35">
        <v>9.8000000000000007</v>
      </c>
      <c r="H15" s="36">
        <v>0.13</v>
      </c>
      <c r="I15" s="35">
        <v>3.5</v>
      </c>
      <c r="J15" s="35">
        <v>0.11</v>
      </c>
      <c r="K15" s="35">
        <v>1.9E-2</v>
      </c>
      <c r="L15" s="32">
        <v>0.03</v>
      </c>
      <c r="M15" s="34">
        <v>160</v>
      </c>
      <c r="N15" s="35">
        <v>40</v>
      </c>
      <c r="O15" s="35">
        <v>60</v>
      </c>
      <c r="P15" s="35">
        <v>110</v>
      </c>
      <c r="Q15" s="35">
        <v>30</v>
      </c>
      <c r="R15" s="624">
        <f t="shared" si="28"/>
        <v>1.4999999999999999E-2</v>
      </c>
      <c r="S15" s="35">
        <v>3</v>
      </c>
      <c r="T15" s="35">
        <v>10</v>
      </c>
      <c r="U15" s="35">
        <v>1</v>
      </c>
      <c r="V15" s="35">
        <v>6.1000000000000005</v>
      </c>
      <c r="W15" s="35">
        <v>100</v>
      </c>
      <c r="X15" s="35">
        <v>6.0000000000000005E-2</v>
      </c>
      <c r="Y15" s="35">
        <v>3.4</v>
      </c>
      <c r="Z15" s="35">
        <v>4.2</v>
      </c>
      <c r="AA15" s="35">
        <v>29</v>
      </c>
      <c r="AB15" s="35">
        <v>0.8</v>
      </c>
      <c r="AC15" s="35">
        <v>1.5</v>
      </c>
      <c r="AD15" s="35">
        <v>0.25999999999999995</v>
      </c>
      <c r="AE15" s="35">
        <v>0.7</v>
      </c>
      <c r="AF15" s="35">
        <v>1.1000000000000001</v>
      </c>
      <c r="AG15" s="624">
        <f>0.5*0.03</f>
        <v>1.4999999999999999E-2</v>
      </c>
      <c r="AH15" s="35">
        <v>5.2</v>
      </c>
      <c r="AI15" s="35">
        <v>0.16</v>
      </c>
      <c r="AJ15" s="35">
        <v>0.18000000000000002</v>
      </c>
      <c r="AK15" s="624">
        <f t="shared" si="29"/>
        <v>0.02</v>
      </c>
      <c r="AL15" s="628">
        <f t="shared" si="30"/>
        <v>3.5000000000000003E-2</v>
      </c>
      <c r="AM15" s="33">
        <v>0.2</v>
      </c>
      <c r="AN15" s="628">
        <f t="shared" si="31"/>
        <v>0.01</v>
      </c>
      <c r="AO15" s="628">
        <f t="shared" si="32"/>
        <v>1.4999999999999999E-2</v>
      </c>
      <c r="AP15" s="35">
        <v>4.7</v>
      </c>
      <c r="AQ15" s="32"/>
      <c r="AR15" s="623">
        <f t="shared" si="33"/>
        <v>0.45</v>
      </c>
      <c r="AS15" s="646">
        <f>0.5*0.9</f>
        <v>0.45</v>
      </c>
      <c r="AT15" s="646">
        <f t="shared" si="35"/>
        <v>0.45</v>
      </c>
      <c r="AU15" s="646">
        <f t="shared" si="34"/>
        <v>0.45</v>
      </c>
      <c r="AV15" s="36">
        <v>0.8</v>
      </c>
      <c r="AW15" s="35">
        <v>1.2</v>
      </c>
      <c r="AX15" s="33">
        <v>0.94</v>
      </c>
      <c r="AY15" s="33">
        <v>7.0000000000000007E-2</v>
      </c>
      <c r="AZ15" s="33">
        <v>2.6</v>
      </c>
      <c r="BA15" s="33">
        <v>1.4</v>
      </c>
      <c r="BB15" s="32"/>
      <c r="BC15" s="619">
        <f t="shared" si="3"/>
        <v>1</v>
      </c>
      <c r="BD15" s="610">
        <f t="shared" si="4"/>
        <v>1.0071428571428569</v>
      </c>
      <c r="BF15" s="610">
        <f t="shared" si="5"/>
        <v>1.6901408450704224E-3</v>
      </c>
      <c r="BG15" s="610">
        <f t="shared" si="6"/>
        <v>1.1129032258064515E-2</v>
      </c>
      <c r="BH15" s="610">
        <f t="shared" si="7"/>
        <v>0.20416666666666669</v>
      </c>
      <c r="BI15" s="610">
        <f t="shared" si="8"/>
        <v>5.6521739130434784E-3</v>
      </c>
      <c r="BJ15" s="610">
        <f t="shared" si="9"/>
        <v>0.19444444444444445</v>
      </c>
      <c r="BK15" s="610">
        <f t="shared" si="10"/>
        <v>2.8205128205128207E-3</v>
      </c>
      <c r="BL15" s="610">
        <f t="shared" si="11"/>
        <v>1.5637860082304525E-3</v>
      </c>
      <c r="BM15" s="610">
        <f t="shared" si="12"/>
        <v>1.5E-3</v>
      </c>
      <c r="BN15" s="563">
        <f t="shared" si="13"/>
        <v>216.98583976980163</v>
      </c>
      <c r="BO15" s="563">
        <f t="shared" si="14"/>
        <v>205.98091718623121</v>
      </c>
      <c r="BP15" s="611">
        <f t="shared" si="15"/>
        <v>1.0534269034913593</v>
      </c>
      <c r="BR15" s="564">
        <f t="shared" si="16"/>
        <v>13.475000000000001</v>
      </c>
      <c r="BS15" s="564">
        <f t="shared" si="17"/>
        <v>0.8901</v>
      </c>
      <c r="BT15" s="564">
        <f t="shared" si="18"/>
        <v>0.32500000000000001</v>
      </c>
      <c r="BU15" s="564">
        <f t="shared" si="19"/>
        <v>4.16</v>
      </c>
      <c r="BV15" s="564">
        <f t="shared" si="20"/>
        <v>1.4</v>
      </c>
      <c r="BW15" s="564">
        <f t="shared" si="21"/>
        <v>0.36760000000000004</v>
      </c>
      <c r="BX15" s="564">
        <f t="shared" si="0"/>
        <v>4.1999999999999996E-2</v>
      </c>
      <c r="BY15" s="564">
        <f t="shared" si="22"/>
        <v>0.13799999999999998</v>
      </c>
      <c r="BZ15" s="564">
        <f t="shared" si="23"/>
        <v>5.0099999999999997E-3</v>
      </c>
      <c r="CA15" s="564">
        <f t="shared" si="24"/>
        <v>20.802710000000001</v>
      </c>
      <c r="CB15" s="611">
        <f t="shared" si="25"/>
        <v>0.83210840000000008</v>
      </c>
      <c r="CC15" s="610"/>
      <c r="CD15" s="610">
        <f t="shared" si="26"/>
        <v>0.65</v>
      </c>
      <c r="CE15" s="610">
        <f t="shared" si="27"/>
        <v>0</v>
      </c>
      <c r="CF15" s="610">
        <f t="shared" si="36"/>
        <v>0.39999999999999991</v>
      </c>
      <c r="CG15" s="610">
        <f t="shared" si="37"/>
        <v>1.01</v>
      </c>
    </row>
    <row r="16" spans="2:85" ht="20.149999999999999" customHeight="1" x14ac:dyDescent="0.2">
      <c r="B16" s="31" t="s">
        <v>202</v>
      </c>
      <c r="C16" s="32" t="s">
        <v>207</v>
      </c>
      <c r="D16" s="33">
        <v>32.299999999999997</v>
      </c>
      <c r="E16" s="34">
        <v>0.03</v>
      </c>
      <c r="F16" s="35">
        <v>0.4</v>
      </c>
      <c r="G16" s="35">
        <v>15</v>
      </c>
      <c r="H16" s="36">
        <v>0.11</v>
      </c>
      <c r="I16" s="35">
        <v>5.3</v>
      </c>
      <c r="J16" s="35">
        <v>0.13</v>
      </c>
      <c r="K16" s="35">
        <v>1.6E-2</v>
      </c>
      <c r="L16" s="32">
        <v>0.04</v>
      </c>
      <c r="M16" s="34">
        <v>140</v>
      </c>
      <c r="N16" s="35">
        <v>30</v>
      </c>
      <c r="O16" s="35">
        <v>80</v>
      </c>
      <c r="P16" s="35">
        <v>120</v>
      </c>
      <c r="Q16" s="35">
        <v>40</v>
      </c>
      <c r="R16" s="624">
        <f t="shared" si="28"/>
        <v>1.4999999999999999E-2</v>
      </c>
      <c r="S16" s="35">
        <v>3</v>
      </c>
      <c r="T16" s="35">
        <v>16</v>
      </c>
      <c r="U16" s="35">
        <v>2</v>
      </c>
      <c r="V16" s="35">
        <v>6.8999999999999995</v>
      </c>
      <c r="W16" s="35">
        <v>100</v>
      </c>
      <c r="X16" s="35">
        <v>0.08</v>
      </c>
      <c r="Y16" s="35">
        <v>5.2</v>
      </c>
      <c r="Z16" s="35">
        <v>5.7</v>
      </c>
      <c r="AA16" s="35">
        <v>36</v>
      </c>
      <c r="AB16" s="35">
        <v>2.2000000000000002</v>
      </c>
      <c r="AC16" s="35">
        <v>3</v>
      </c>
      <c r="AD16" s="35">
        <v>0.4</v>
      </c>
      <c r="AE16" s="35">
        <v>0.7</v>
      </c>
      <c r="AF16" s="35">
        <v>1.6</v>
      </c>
      <c r="AG16" s="35">
        <v>0.04</v>
      </c>
      <c r="AH16" s="35">
        <v>5.1000000000000005</v>
      </c>
      <c r="AI16" s="35">
        <v>0.2</v>
      </c>
      <c r="AJ16" s="35">
        <v>0.27999999999999997</v>
      </c>
      <c r="AK16" s="624">
        <f t="shared" si="29"/>
        <v>0.02</v>
      </c>
      <c r="AL16" s="628">
        <f t="shared" si="30"/>
        <v>3.5000000000000003E-2</v>
      </c>
      <c r="AM16" s="33">
        <v>0.4</v>
      </c>
      <c r="AN16" s="628">
        <f t="shared" si="31"/>
        <v>0.01</v>
      </c>
      <c r="AO16" s="628">
        <f t="shared" si="32"/>
        <v>1.4999999999999999E-2</v>
      </c>
      <c r="AP16" s="35">
        <v>10</v>
      </c>
      <c r="AQ16" s="32"/>
      <c r="AR16" s="623">
        <f t="shared" si="33"/>
        <v>0.45</v>
      </c>
      <c r="AS16" s="36">
        <v>1.1000000000000001</v>
      </c>
      <c r="AT16" s="646">
        <f t="shared" si="35"/>
        <v>0.45</v>
      </c>
      <c r="AU16" s="646">
        <f t="shared" si="34"/>
        <v>0.45</v>
      </c>
      <c r="AV16" s="36">
        <v>0.95</v>
      </c>
      <c r="AW16" s="35">
        <v>1.7</v>
      </c>
      <c r="AX16" s="33">
        <v>0.74</v>
      </c>
      <c r="AY16" s="33">
        <v>0.04</v>
      </c>
      <c r="AZ16" s="33">
        <v>3</v>
      </c>
      <c r="BA16" s="33">
        <v>1.5</v>
      </c>
      <c r="BB16" s="32"/>
      <c r="BC16" s="619">
        <f t="shared" si="3"/>
        <v>1.1333333333333335</v>
      </c>
      <c r="BD16" s="610">
        <f t="shared" si="4"/>
        <v>1.02</v>
      </c>
      <c r="BF16" s="610">
        <f t="shared" si="5"/>
        <v>8.450704225352112E-4</v>
      </c>
      <c r="BG16" s="610">
        <f t="shared" si="6"/>
        <v>6.4516129032258064E-3</v>
      </c>
      <c r="BH16" s="610">
        <f t="shared" si="7"/>
        <v>0.3125</v>
      </c>
      <c r="BI16" s="610">
        <f t="shared" si="8"/>
        <v>4.7826086956521737E-3</v>
      </c>
      <c r="BJ16" s="610">
        <f t="shared" si="9"/>
        <v>0.29444444444444445</v>
      </c>
      <c r="BK16" s="610">
        <f t="shared" si="10"/>
        <v>3.3333333333333335E-3</v>
      </c>
      <c r="BL16" s="610">
        <f t="shared" si="11"/>
        <v>1.316872427983539E-3</v>
      </c>
      <c r="BM16" s="610">
        <f t="shared" si="12"/>
        <v>2E-3</v>
      </c>
      <c r="BN16" s="563">
        <f t="shared" si="13"/>
        <v>319.79668332576102</v>
      </c>
      <c r="BO16" s="563">
        <f t="shared" si="14"/>
        <v>305.87725890141354</v>
      </c>
      <c r="BP16" s="611">
        <f t="shared" si="15"/>
        <v>1.0455065684658624</v>
      </c>
      <c r="BR16" s="564">
        <f t="shared" si="16"/>
        <v>20.625</v>
      </c>
      <c r="BS16" s="564">
        <f t="shared" si="17"/>
        <v>0.51600000000000001</v>
      </c>
      <c r="BT16" s="564">
        <f t="shared" si="18"/>
        <v>0.27500000000000002</v>
      </c>
      <c r="BU16" s="564">
        <f t="shared" si="19"/>
        <v>4.8000000000000007</v>
      </c>
      <c r="BV16" s="564">
        <f t="shared" si="20"/>
        <v>1.5</v>
      </c>
      <c r="BW16" s="564">
        <f t="shared" si="21"/>
        <v>0.2757</v>
      </c>
      <c r="BX16" s="564">
        <f t="shared" si="0"/>
        <v>5.5999999999999994E-2</v>
      </c>
      <c r="BY16" s="564">
        <f t="shared" si="22"/>
        <v>0.13799999999999998</v>
      </c>
      <c r="BZ16" s="564">
        <f t="shared" si="23"/>
        <v>5.0099999999999997E-3</v>
      </c>
      <c r="CA16" s="564">
        <f t="shared" si="24"/>
        <v>28.190709999999999</v>
      </c>
      <c r="CB16" s="611">
        <f t="shared" si="25"/>
        <v>0.87277739938080501</v>
      </c>
      <c r="CC16" s="610"/>
      <c r="CD16" s="610">
        <f t="shared" si="26"/>
        <v>0.66666666666666663</v>
      </c>
      <c r="CE16" s="610">
        <f t="shared" si="27"/>
        <v>0</v>
      </c>
      <c r="CF16" s="610">
        <f t="shared" si="36"/>
        <v>0.75</v>
      </c>
      <c r="CG16" s="610">
        <f t="shared" si="37"/>
        <v>0.78</v>
      </c>
    </row>
    <row r="17" spans="2:85" ht="20.149999999999999" customHeight="1" x14ac:dyDescent="0.2">
      <c r="B17" s="31" t="s">
        <v>202</v>
      </c>
      <c r="C17" s="32" t="s">
        <v>208</v>
      </c>
      <c r="D17" s="33">
        <v>26.7</v>
      </c>
      <c r="E17" s="34">
        <v>0.02</v>
      </c>
      <c r="F17" s="35">
        <v>0.18</v>
      </c>
      <c r="G17" s="35">
        <v>11</v>
      </c>
      <c r="H17" s="36">
        <v>6.5000000000000002E-2</v>
      </c>
      <c r="I17" s="35">
        <v>3.4</v>
      </c>
      <c r="J17" s="35">
        <v>0.56999999999999995</v>
      </c>
      <c r="K17" s="35">
        <v>4.5999999999999999E-2</v>
      </c>
      <c r="L17" s="32">
        <v>0.04</v>
      </c>
      <c r="M17" s="34">
        <v>80</v>
      </c>
      <c r="N17" s="35">
        <v>80</v>
      </c>
      <c r="O17" s="35">
        <v>70</v>
      </c>
      <c r="P17" s="35">
        <v>530</v>
      </c>
      <c r="Q17" s="35">
        <v>30</v>
      </c>
      <c r="R17" s="624">
        <f t="shared" si="28"/>
        <v>1.4999999999999999E-2</v>
      </c>
      <c r="S17" s="35">
        <v>5</v>
      </c>
      <c r="T17" s="35">
        <v>7.1000000000000005</v>
      </c>
      <c r="U17" s="35">
        <v>2</v>
      </c>
      <c r="V17" s="35">
        <v>7.6</v>
      </c>
      <c r="W17" s="35">
        <v>83</v>
      </c>
      <c r="X17" s="35">
        <v>6.0000000000000005E-2</v>
      </c>
      <c r="Y17" s="35">
        <v>2.5</v>
      </c>
      <c r="Z17" s="35">
        <v>19</v>
      </c>
      <c r="AA17" s="35">
        <v>33</v>
      </c>
      <c r="AB17" s="35">
        <v>1.4</v>
      </c>
      <c r="AC17" s="35">
        <v>1.3</v>
      </c>
      <c r="AD17" s="35">
        <v>0.28999999999999998</v>
      </c>
      <c r="AE17" s="35">
        <v>0.5</v>
      </c>
      <c r="AF17" s="35">
        <v>7.3</v>
      </c>
      <c r="AG17" s="624">
        <f>0.5*0.03</f>
        <v>1.4999999999999999E-2</v>
      </c>
      <c r="AH17" s="35">
        <v>34</v>
      </c>
      <c r="AI17" s="35">
        <v>0.12999999999999998</v>
      </c>
      <c r="AJ17" s="35">
        <v>0.18000000000000002</v>
      </c>
      <c r="AK17" s="624">
        <f t="shared" si="29"/>
        <v>0.02</v>
      </c>
      <c r="AL17" s="628">
        <f t="shared" si="30"/>
        <v>3.5000000000000003E-2</v>
      </c>
      <c r="AM17" s="33">
        <v>0.2</v>
      </c>
      <c r="AN17" s="628">
        <f t="shared" si="31"/>
        <v>0.01</v>
      </c>
      <c r="AO17" s="628">
        <f t="shared" si="32"/>
        <v>1.4999999999999999E-2</v>
      </c>
      <c r="AP17" s="35">
        <v>9.1</v>
      </c>
      <c r="AQ17" s="32"/>
      <c r="AR17" s="623">
        <f t="shared" si="33"/>
        <v>0.45</v>
      </c>
      <c r="AS17" s="36">
        <v>1.1000000000000001</v>
      </c>
      <c r="AT17" s="646">
        <f t="shared" si="35"/>
        <v>0.45</v>
      </c>
      <c r="AU17" s="646">
        <f t="shared" si="34"/>
        <v>0.45</v>
      </c>
      <c r="AV17" s="36">
        <v>0.97</v>
      </c>
      <c r="AW17" s="35">
        <v>1.6</v>
      </c>
      <c r="AX17" s="33">
        <v>0.61</v>
      </c>
      <c r="AY17" s="33">
        <v>0.11</v>
      </c>
      <c r="AZ17" s="33">
        <v>4</v>
      </c>
      <c r="BA17" s="33">
        <v>1.3</v>
      </c>
      <c r="BB17" s="32"/>
      <c r="BC17" s="619">
        <f t="shared" si="3"/>
        <v>0.85499999999999998</v>
      </c>
      <c r="BD17" s="610">
        <f t="shared" si="4"/>
        <v>1.0384615384615383</v>
      </c>
      <c r="BF17" s="610">
        <f t="shared" si="5"/>
        <v>5.6338028169014088E-4</v>
      </c>
      <c r="BG17" s="610">
        <f t="shared" si="6"/>
        <v>2.9032258064516127E-3</v>
      </c>
      <c r="BH17" s="610">
        <f t="shared" si="7"/>
        <v>0.22916666666666666</v>
      </c>
      <c r="BI17" s="610">
        <f t="shared" si="8"/>
        <v>2.8260869565217392E-3</v>
      </c>
      <c r="BJ17" s="610">
        <f t="shared" si="9"/>
        <v>0.18888888888888888</v>
      </c>
      <c r="BK17" s="610">
        <f t="shared" si="10"/>
        <v>1.4615384615384613E-2</v>
      </c>
      <c r="BL17" s="610">
        <f t="shared" si="11"/>
        <v>3.7860082304526747E-3</v>
      </c>
      <c r="BM17" s="610">
        <f t="shared" si="12"/>
        <v>2E-3</v>
      </c>
      <c r="BN17" s="563">
        <f t="shared" si="13"/>
        <v>232.63327275480842</v>
      </c>
      <c r="BO17" s="563">
        <f t="shared" si="14"/>
        <v>212.11636869124789</v>
      </c>
      <c r="BP17" s="611">
        <f t="shared" si="15"/>
        <v>1.0967247562748186</v>
      </c>
      <c r="BR17" s="564">
        <f t="shared" si="16"/>
        <v>15.125</v>
      </c>
      <c r="BS17" s="564">
        <f t="shared" si="17"/>
        <v>0.23219999999999999</v>
      </c>
      <c r="BT17" s="564">
        <f t="shared" si="18"/>
        <v>0.16250000000000001</v>
      </c>
      <c r="BU17" s="564">
        <f t="shared" si="19"/>
        <v>6.4</v>
      </c>
      <c r="BV17" s="564">
        <f t="shared" si="20"/>
        <v>1.3</v>
      </c>
      <c r="BW17" s="564">
        <f t="shared" si="21"/>
        <v>0.73520000000000008</v>
      </c>
      <c r="BX17" s="564">
        <f t="shared" si="0"/>
        <v>4.1999999999999996E-2</v>
      </c>
      <c r="BY17" s="564">
        <f t="shared" si="22"/>
        <v>0.11454</v>
      </c>
      <c r="BZ17" s="564">
        <f t="shared" si="23"/>
        <v>8.3499999999999998E-3</v>
      </c>
      <c r="CA17" s="564">
        <f t="shared" si="24"/>
        <v>24.119790000000002</v>
      </c>
      <c r="CB17" s="611">
        <f t="shared" si="25"/>
        <v>0.90336292134831475</v>
      </c>
      <c r="CC17" s="610"/>
      <c r="CD17" s="610">
        <f t="shared" si="26"/>
        <v>0.75471698113207553</v>
      </c>
      <c r="CE17" s="610">
        <f t="shared" si="27"/>
        <v>0</v>
      </c>
      <c r="CF17" s="610">
        <f t="shared" si="36"/>
        <v>0.63000000000000012</v>
      </c>
      <c r="CG17" s="610">
        <f t="shared" si="37"/>
        <v>0.72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24</v>
      </c>
      <c r="E18" s="42">
        <v>0.02</v>
      </c>
      <c r="F18" s="43">
        <v>0.13</v>
      </c>
      <c r="G18" s="43">
        <v>11</v>
      </c>
      <c r="H18" s="44">
        <v>7.8E-2</v>
      </c>
      <c r="I18" s="43">
        <v>3.6</v>
      </c>
      <c r="J18" s="43">
        <v>0.23</v>
      </c>
      <c r="K18" s="43">
        <v>2.1999999999999999E-2</v>
      </c>
      <c r="L18" s="45">
        <v>0.04</v>
      </c>
      <c r="M18" s="42">
        <v>99</v>
      </c>
      <c r="N18" s="43">
        <v>50</v>
      </c>
      <c r="O18" s="43">
        <v>90</v>
      </c>
      <c r="P18" s="43">
        <v>180</v>
      </c>
      <c r="Q18" s="43">
        <v>40</v>
      </c>
      <c r="R18" s="626">
        <f t="shared" si="28"/>
        <v>1.4999999999999999E-2</v>
      </c>
      <c r="S18" s="43">
        <v>3</v>
      </c>
      <c r="T18" s="43">
        <v>7.3</v>
      </c>
      <c r="U18" s="43">
        <v>1</v>
      </c>
      <c r="V18" s="43">
        <v>4.5</v>
      </c>
      <c r="W18" s="43">
        <v>80</v>
      </c>
      <c r="X18" s="43">
        <v>6.9999999999999993E-2</v>
      </c>
      <c r="Y18" s="43">
        <v>2.5</v>
      </c>
      <c r="Z18" s="43">
        <v>6.6</v>
      </c>
      <c r="AA18" s="43">
        <v>34</v>
      </c>
      <c r="AB18" s="43">
        <v>1.6</v>
      </c>
      <c r="AC18" s="43">
        <v>1.7</v>
      </c>
      <c r="AD18" s="43">
        <v>0.3</v>
      </c>
      <c r="AE18" s="43">
        <v>1.6</v>
      </c>
      <c r="AF18" s="43">
        <v>1.8</v>
      </c>
      <c r="AG18" s="43">
        <v>3.0000000000000002E-2</v>
      </c>
      <c r="AH18" s="43">
        <v>9.2999999999999989</v>
      </c>
      <c r="AI18" s="43">
        <v>0.1</v>
      </c>
      <c r="AJ18" s="43">
        <v>0.13999999999999999</v>
      </c>
      <c r="AK18" s="626">
        <f t="shared" si="29"/>
        <v>0.02</v>
      </c>
      <c r="AL18" s="629">
        <f t="shared" si="30"/>
        <v>3.5000000000000003E-2</v>
      </c>
      <c r="AM18" s="41">
        <v>0.2</v>
      </c>
      <c r="AN18" s="629">
        <f t="shared" si="31"/>
        <v>0.01</v>
      </c>
      <c r="AO18" s="629">
        <f t="shared" si="32"/>
        <v>1.4999999999999999E-2</v>
      </c>
      <c r="AP18" s="43">
        <v>9.2999999999999989</v>
      </c>
      <c r="AQ18" s="45"/>
      <c r="AR18" s="631">
        <f t="shared" si="33"/>
        <v>0.45</v>
      </c>
      <c r="AS18" s="664">
        <f>0.5*0.9</f>
        <v>0.45</v>
      </c>
      <c r="AT18" s="664">
        <f t="shared" si="35"/>
        <v>0.45</v>
      </c>
      <c r="AU18" s="664">
        <f t="shared" si="34"/>
        <v>0.45</v>
      </c>
      <c r="AV18" s="44">
        <v>0.85</v>
      </c>
      <c r="AW18" s="43">
        <v>1.2</v>
      </c>
      <c r="AX18" s="41">
        <v>0.74</v>
      </c>
      <c r="AY18" s="41">
        <v>0.08</v>
      </c>
      <c r="AZ18" s="41">
        <v>2.4</v>
      </c>
      <c r="BA18" s="41">
        <v>1.1000000000000001</v>
      </c>
      <c r="BB18" s="45"/>
      <c r="BC18" s="620">
        <f t="shared" si="3"/>
        <v>1.1041666666666667</v>
      </c>
      <c r="BD18" s="617">
        <f t="shared" si="4"/>
        <v>1.0636363636363635</v>
      </c>
      <c r="BE18" s="616"/>
      <c r="BF18" s="617">
        <f t="shared" si="5"/>
        <v>5.6338028169014088E-4</v>
      </c>
      <c r="BG18" s="617">
        <f t="shared" si="6"/>
        <v>2.096774193548387E-3</v>
      </c>
      <c r="BH18" s="617">
        <f t="shared" si="7"/>
        <v>0.22916666666666666</v>
      </c>
      <c r="BI18" s="617">
        <f t="shared" si="8"/>
        <v>3.3913043478260869E-3</v>
      </c>
      <c r="BJ18" s="617">
        <f t="shared" si="9"/>
        <v>0.2</v>
      </c>
      <c r="BK18" s="617">
        <f t="shared" si="10"/>
        <v>5.8974358974358976E-3</v>
      </c>
      <c r="BL18" s="617">
        <f t="shared" si="11"/>
        <v>1.810699588477366E-3</v>
      </c>
      <c r="BM18" s="617">
        <f t="shared" si="12"/>
        <v>2E-3</v>
      </c>
      <c r="BN18" s="621">
        <f t="shared" si="13"/>
        <v>231.82682114190519</v>
      </c>
      <c r="BO18" s="621">
        <f t="shared" si="14"/>
        <v>213.09943983373938</v>
      </c>
      <c r="BP18" s="618">
        <f t="shared" si="15"/>
        <v>1.087880950427542</v>
      </c>
      <c r="BQ18" s="616"/>
      <c r="BR18" s="615">
        <f t="shared" si="16"/>
        <v>15.125</v>
      </c>
      <c r="BS18" s="615">
        <f t="shared" si="17"/>
        <v>0.16770000000000002</v>
      </c>
      <c r="BT18" s="615">
        <f t="shared" si="18"/>
        <v>0.19500000000000001</v>
      </c>
      <c r="BU18" s="615">
        <f t="shared" si="19"/>
        <v>3.84</v>
      </c>
      <c r="BV18" s="615">
        <f t="shared" si="20"/>
        <v>1.1000000000000001</v>
      </c>
      <c r="BW18" s="615">
        <f t="shared" si="21"/>
        <v>0.45950000000000002</v>
      </c>
      <c r="BX18" s="615">
        <f t="shared" si="0"/>
        <v>5.5999999999999994E-2</v>
      </c>
      <c r="BY18" s="615">
        <f t="shared" si="22"/>
        <v>0.1104</v>
      </c>
      <c r="BZ18" s="615">
        <f t="shared" si="23"/>
        <v>5.0099999999999997E-3</v>
      </c>
      <c r="CA18" s="615">
        <f t="shared" si="24"/>
        <v>21.058609999999998</v>
      </c>
      <c r="CB18" s="618">
        <f t="shared" si="25"/>
        <v>0.87744208333333329</v>
      </c>
      <c r="CC18" s="617"/>
      <c r="CD18" s="617">
        <f t="shared" si="26"/>
        <v>0.68571428571428572</v>
      </c>
      <c r="CE18" s="617">
        <f t="shared" si="27"/>
        <v>0</v>
      </c>
      <c r="CF18" s="617">
        <f t="shared" si="36"/>
        <v>0.35</v>
      </c>
      <c r="CG18" s="617">
        <f t="shared" si="37"/>
        <v>0.82</v>
      </c>
    </row>
    <row r="19" spans="2:85" ht="20.149999999999999" customHeight="1" x14ac:dyDescent="0.2">
      <c r="B19" s="31" t="s">
        <v>61</v>
      </c>
      <c r="C19" s="46" t="s">
        <v>92</v>
      </c>
      <c r="D19" s="47">
        <v>30.5</v>
      </c>
      <c r="E19" s="48">
        <v>0.04</v>
      </c>
      <c r="F19" s="49">
        <v>0.35</v>
      </c>
      <c r="G19" s="49">
        <v>14</v>
      </c>
      <c r="H19" s="50">
        <v>0.12</v>
      </c>
      <c r="I19" s="49">
        <v>5</v>
      </c>
      <c r="J19" s="49">
        <v>0.19</v>
      </c>
      <c r="K19" s="49">
        <v>2.1999999999999999E-2</v>
      </c>
      <c r="L19" s="37">
        <v>0.05</v>
      </c>
      <c r="M19" s="48">
        <v>150</v>
      </c>
      <c r="N19" s="49">
        <v>60</v>
      </c>
      <c r="O19" s="49">
        <v>140</v>
      </c>
      <c r="P19" s="49">
        <v>180</v>
      </c>
      <c r="Q19" s="49">
        <v>50</v>
      </c>
      <c r="R19" s="49" t="s">
        <v>253</v>
      </c>
      <c r="S19" s="49">
        <v>5</v>
      </c>
      <c r="T19" s="49">
        <v>8.9</v>
      </c>
      <c r="U19" s="49">
        <v>2</v>
      </c>
      <c r="V19" s="49">
        <v>7.7</v>
      </c>
      <c r="W19" s="49">
        <v>110</v>
      </c>
      <c r="X19" s="49">
        <v>0.1</v>
      </c>
      <c r="Y19" s="49">
        <v>3.1</v>
      </c>
      <c r="Z19" s="49">
        <v>7.3</v>
      </c>
      <c r="AA19" s="49">
        <v>45</v>
      </c>
      <c r="AB19" s="49">
        <v>2.6</v>
      </c>
      <c r="AC19" s="49">
        <v>2.5</v>
      </c>
      <c r="AD19" s="49">
        <v>0.5</v>
      </c>
      <c r="AE19" s="49">
        <v>1.1000000000000001</v>
      </c>
      <c r="AF19" s="49">
        <v>2.2999999999999998</v>
      </c>
      <c r="AG19" s="49">
        <v>0.05</v>
      </c>
      <c r="AH19" s="49">
        <v>7.8</v>
      </c>
      <c r="AI19" s="49">
        <v>0.13999999999999999</v>
      </c>
      <c r="AJ19" s="49">
        <v>0.2</v>
      </c>
      <c r="AK19" s="49" t="s">
        <v>257</v>
      </c>
      <c r="AL19" s="47" t="s">
        <v>258</v>
      </c>
      <c r="AM19" s="47">
        <v>0.3</v>
      </c>
      <c r="AN19" s="47" t="s">
        <v>259</v>
      </c>
      <c r="AO19" s="47">
        <v>9.0000000000000011E-2</v>
      </c>
      <c r="AP19" s="49">
        <v>11</v>
      </c>
      <c r="AQ19" s="37"/>
      <c r="AR19" s="48" t="s">
        <v>260</v>
      </c>
      <c r="AS19" s="50" t="s">
        <v>260</v>
      </c>
      <c r="AT19" s="50" t="s">
        <v>260</v>
      </c>
      <c r="AU19" s="50" t="s">
        <v>260</v>
      </c>
      <c r="AV19" s="50">
        <v>0.85</v>
      </c>
      <c r="AW19" s="49">
        <v>1.3</v>
      </c>
      <c r="AX19" s="47">
        <v>0.68</v>
      </c>
      <c r="AY19" s="47">
        <v>0.04</v>
      </c>
      <c r="AZ19" s="47">
        <v>2.2000000000000002</v>
      </c>
      <c r="BA19" s="47">
        <v>1.2</v>
      </c>
      <c r="BB19" s="37"/>
      <c r="BC19" s="619">
        <f t="shared" si="3"/>
        <v>0.3863636363636363</v>
      </c>
      <c r="BD19" s="610">
        <f t="shared" si="4"/>
        <v>0.97499999999999998</v>
      </c>
      <c r="BF19" s="610">
        <f t="shared" si="5"/>
        <v>1.1267605633802818E-3</v>
      </c>
      <c r="BG19" s="610">
        <f t="shared" si="6"/>
        <v>5.6451612903225803E-3</v>
      </c>
      <c r="BH19" s="610">
        <f t="shared" si="7"/>
        <v>0.29166666666666669</v>
      </c>
      <c r="BI19" s="610">
        <f t="shared" si="8"/>
        <v>5.2173913043478256E-3</v>
      </c>
      <c r="BJ19" s="610">
        <f t="shared" si="9"/>
        <v>0.27777777777777779</v>
      </c>
      <c r="BK19" s="610">
        <f t="shared" si="10"/>
        <v>4.871794871794872E-3</v>
      </c>
      <c r="BL19" s="610">
        <f t="shared" si="11"/>
        <v>1.810699588477366E-3</v>
      </c>
      <c r="BM19" s="610">
        <f t="shared" si="12"/>
        <v>2.5000000000000001E-3</v>
      </c>
      <c r="BN19" s="563">
        <f t="shared" si="13"/>
        <v>298.43858852036954</v>
      </c>
      <c r="BO19" s="563">
        <f t="shared" si="14"/>
        <v>292.17766354239791</v>
      </c>
      <c r="BP19" s="611">
        <f t="shared" si="15"/>
        <v>1.0214284860179366</v>
      </c>
      <c r="BR19" s="564">
        <f t="shared" si="16"/>
        <v>19.25</v>
      </c>
      <c r="BS19" s="564">
        <f t="shared" si="17"/>
        <v>0.45149999999999996</v>
      </c>
      <c r="BT19" s="564">
        <f t="shared" si="18"/>
        <v>0.3</v>
      </c>
      <c r="BU19" s="564">
        <f t="shared" si="19"/>
        <v>3.5200000000000005</v>
      </c>
      <c r="BV19" s="564">
        <f t="shared" si="20"/>
        <v>1.2</v>
      </c>
      <c r="BW19" s="564">
        <f t="shared" si="21"/>
        <v>0.5514</v>
      </c>
      <c r="BX19" s="564">
        <f t="shared" si="0"/>
        <v>6.9999999999999993E-2</v>
      </c>
      <c r="BY19" s="564">
        <f t="shared" si="22"/>
        <v>0.15179999999999999</v>
      </c>
      <c r="BZ19" s="564">
        <f t="shared" si="23"/>
        <v>8.3499999999999998E-3</v>
      </c>
      <c r="CA19" s="564">
        <f t="shared" si="24"/>
        <v>25.503050000000002</v>
      </c>
      <c r="CB19" s="611">
        <f t="shared" si="25"/>
        <v>0.83616557377049183</v>
      </c>
      <c r="CC19" s="610"/>
      <c r="CD19" s="610">
        <f t="shared" si="26"/>
        <v>0.6470588235294118</v>
      </c>
      <c r="CE19" s="610">
        <f t="shared" si="27"/>
        <v>0</v>
      </c>
      <c r="CF19" s="610">
        <f t="shared" si="36"/>
        <v>0.45000000000000007</v>
      </c>
      <c r="CG19" s="610">
        <f t="shared" si="37"/>
        <v>0.72000000000000008</v>
      </c>
    </row>
    <row r="20" spans="2:85" ht="20.149999999999999" customHeight="1" x14ac:dyDescent="0.2">
      <c r="B20" s="21" t="s">
        <v>61</v>
      </c>
      <c r="C20" s="52" t="s">
        <v>210</v>
      </c>
      <c r="D20" s="53">
        <v>22</v>
      </c>
      <c r="E20" s="54">
        <v>0.03</v>
      </c>
      <c r="F20" s="55">
        <v>0.18</v>
      </c>
      <c r="G20" s="55">
        <v>9.6999999999999993</v>
      </c>
      <c r="H20" s="56">
        <v>9.0999999999999998E-2</v>
      </c>
      <c r="I20" s="55">
        <v>3.3</v>
      </c>
      <c r="J20" s="55">
        <v>0.1</v>
      </c>
      <c r="K20" s="55">
        <v>1.4999999999999999E-2</v>
      </c>
      <c r="L20" s="52">
        <v>0.04</v>
      </c>
      <c r="M20" s="54">
        <v>110</v>
      </c>
      <c r="N20" s="55">
        <v>40</v>
      </c>
      <c r="O20" s="55">
        <v>100</v>
      </c>
      <c r="P20" s="55">
        <v>110</v>
      </c>
      <c r="Q20" s="55">
        <v>50</v>
      </c>
      <c r="R20" s="55" t="s">
        <v>253</v>
      </c>
      <c r="S20" s="55">
        <v>4</v>
      </c>
      <c r="T20" s="55">
        <v>6.5</v>
      </c>
      <c r="U20" s="55">
        <v>1</v>
      </c>
      <c r="V20" s="55">
        <v>5.5</v>
      </c>
      <c r="W20" s="55">
        <v>84</v>
      </c>
      <c r="X20" s="55">
        <v>6.9999999999999993E-2</v>
      </c>
      <c r="Y20" s="55">
        <v>2.2999999999999998</v>
      </c>
      <c r="Z20" s="55">
        <v>5.4</v>
      </c>
      <c r="AA20" s="55">
        <v>36</v>
      </c>
      <c r="AB20" s="55">
        <v>1.5</v>
      </c>
      <c r="AC20" s="55">
        <v>2.2999999999999998</v>
      </c>
      <c r="AD20" s="55">
        <v>0.28999999999999998</v>
      </c>
      <c r="AE20" s="55">
        <v>0.5</v>
      </c>
      <c r="AF20" s="55">
        <v>1.3</v>
      </c>
      <c r="AG20" s="55" t="s">
        <v>253</v>
      </c>
      <c r="AH20" s="55">
        <v>4.8</v>
      </c>
      <c r="AI20" s="55">
        <v>0.1</v>
      </c>
      <c r="AJ20" s="55">
        <v>0.17</v>
      </c>
      <c r="AK20" s="55" t="s">
        <v>257</v>
      </c>
      <c r="AL20" s="53" t="s">
        <v>258</v>
      </c>
      <c r="AM20" s="53">
        <v>0.2</v>
      </c>
      <c r="AN20" s="53" t="s">
        <v>259</v>
      </c>
      <c r="AO20" s="53">
        <v>0.05</v>
      </c>
      <c r="AP20" s="55">
        <v>7.1000000000000005</v>
      </c>
      <c r="AQ20" s="52"/>
      <c r="AR20" s="54" t="s">
        <v>260</v>
      </c>
      <c r="AS20" s="56" t="s">
        <v>260</v>
      </c>
      <c r="AT20" s="56" t="s">
        <v>260</v>
      </c>
      <c r="AU20" s="56" t="s">
        <v>260</v>
      </c>
      <c r="AV20" s="56">
        <v>0.72</v>
      </c>
      <c r="AW20" s="55">
        <v>1</v>
      </c>
      <c r="AX20" s="53">
        <v>0.9</v>
      </c>
      <c r="AY20" s="53">
        <v>0.14000000000000001</v>
      </c>
      <c r="AZ20" s="53">
        <v>2.1</v>
      </c>
      <c r="BA20" s="53">
        <v>1.3</v>
      </c>
      <c r="BB20" s="52"/>
      <c r="BC20" s="619">
        <f t="shared" si="3"/>
        <v>0.3428571428571428</v>
      </c>
      <c r="BD20" s="610">
        <f t="shared" si="4"/>
        <v>1.0153846153846153</v>
      </c>
      <c r="BF20" s="610">
        <f t="shared" si="5"/>
        <v>8.450704225352112E-4</v>
      </c>
      <c r="BG20" s="610">
        <f t="shared" si="6"/>
        <v>2.9032258064516127E-3</v>
      </c>
      <c r="BH20" s="610">
        <f t="shared" si="7"/>
        <v>0.20208333333333331</v>
      </c>
      <c r="BI20" s="610">
        <f t="shared" si="8"/>
        <v>3.956521739130435E-3</v>
      </c>
      <c r="BJ20" s="610">
        <f t="shared" si="9"/>
        <v>0.18333333333333332</v>
      </c>
      <c r="BK20" s="610">
        <f t="shared" si="10"/>
        <v>2.5641025641025641E-3</v>
      </c>
      <c r="BL20" s="610">
        <f t="shared" si="11"/>
        <v>1.2345679012345679E-3</v>
      </c>
      <c r="BM20" s="610">
        <f t="shared" si="12"/>
        <v>2E-3</v>
      </c>
      <c r="BN20" s="563">
        <f t="shared" si="13"/>
        <v>205.83162956232013</v>
      </c>
      <c r="BO20" s="563">
        <f t="shared" si="14"/>
        <v>193.0885255378009</v>
      </c>
      <c r="BP20" s="611">
        <f t="shared" si="15"/>
        <v>1.0659961744957471</v>
      </c>
      <c r="BR20" s="564">
        <f t="shared" si="16"/>
        <v>13.337499999999999</v>
      </c>
      <c r="BS20" s="564">
        <f t="shared" si="17"/>
        <v>0.23219999999999999</v>
      </c>
      <c r="BT20" s="564">
        <f t="shared" si="18"/>
        <v>0.22749999999999998</v>
      </c>
      <c r="BU20" s="564">
        <f t="shared" si="19"/>
        <v>3.3600000000000003</v>
      </c>
      <c r="BV20" s="564">
        <f t="shared" si="20"/>
        <v>1.3</v>
      </c>
      <c r="BW20" s="564">
        <f t="shared" si="21"/>
        <v>0.36760000000000004</v>
      </c>
      <c r="BX20" s="564">
        <f t="shared" si="0"/>
        <v>6.9999999999999993E-2</v>
      </c>
      <c r="BY20" s="564">
        <f t="shared" si="22"/>
        <v>0.11592</v>
      </c>
      <c r="BZ20" s="564">
        <f t="shared" si="23"/>
        <v>6.6800000000000002E-3</v>
      </c>
      <c r="CA20" s="564">
        <f t="shared" si="24"/>
        <v>19.017399999999999</v>
      </c>
      <c r="CB20" s="611">
        <f t="shared" si="25"/>
        <v>0.86442727272727271</v>
      </c>
      <c r="CD20" s="610">
        <f t="shared" si="26"/>
        <v>0.61764705882352933</v>
      </c>
      <c r="CE20" s="610">
        <f t="shared" si="27"/>
        <v>0</v>
      </c>
      <c r="CF20" s="610">
        <f t="shared" si="36"/>
        <v>0.28000000000000003</v>
      </c>
      <c r="CG20" s="610">
        <f t="shared" si="37"/>
        <v>1.04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26.514285714285709</v>
      </c>
      <c r="E21" s="541">
        <f t="shared" ref="E21:BB21" si="38">AVERAGE(E12:E18)</f>
        <v>8.5714285714285729E-2</v>
      </c>
      <c r="F21" s="541">
        <f t="shared" si="38"/>
        <v>0.34714285714285714</v>
      </c>
      <c r="G21" s="540">
        <f t="shared" si="38"/>
        <v>10.028571428571428</v>
      </c>
      <c r="H21" s="541">
        <f t="shared" si="38"/>
        <v>0.14371428571428571</v>
      </c>
      <c r="I21" s="540">
        <f t="shared" si="38"/>
        <v>3.4285714285714284</v>
      </c>
      <c r="J21" s="541">
        <f t="shared" si="38"/>
        <v>0.19214285714285712</v>
      </c>
      <c r="K21" s="541">
        <f t="shared" si="38"/>
        <v>2.6428571428571423E-2</v>
      </c>
      <c r="L21" s="541">
        <f t="shared" si="38"/>
        <v>3.7142857142857144E-2</v>
      </c>
      <c r="M21" s="540">
        <f t="shared" si="38"/>
        <v>208.42857142857142</v>
      </c>
      <c r="N21" s="540">
        <f t="shared" si="38"/>
        <v>47.142857142857146</v>
      </c>
      <c r="O21" s="540">
        <f t="shared" si="38"/>
        <v>67.142857142857139</v>
      </c>
      <c r="P21" s="540">
        <f t="shared" si="38"/>
        <v>187.14285714285714</v>
      </c>
      <c r="Q21" s="540">
        <f t="shared" si="38"/>
        <v>40</v>
      </c>
      <c r="R21" s="540">
        <f t="shared" si="38"/>
        <v>1.4999999999999999E-2</v>
      </c>
      <c r="S21" s="540">
        <f t="shared" si="38"/>
        <v>3.2857142857142856</v>
      </c>
      <c r="T21" s="540">
        <f t="shared" si="38"/>
        <v>10.428571428571429</v>
      </c>
      <c r="U21" s="540">
        <f t="shared" si="38"/>
        <v>1.5714285714285714</v>
      </c>
      <c r="V21" s="540">
        <f t="shared" si="38"/>
        <v>6.6428571428571432</v>
      </c>
      <c r="W21" s="540">
        <f t="shared" si="38"/>
        <v>113.28571428571429</v>
      </c>
      <c r="X21" s="540">
        <f t="shared" si="38"/>
        <v>6.5714285714285711E-2</v>
      </c>
      <c r="Y21" s="540">
        <f t="shared" si="38"/>
        <v>3.5142857142857147</v>
      </c>
      <c r="Z21" s="540">
        <f t="shared" si="38"/>
        <v>7.2714285714285714</v>
      </c>
      <c r="AA21" s="540">
        <f t="shared" si="38"/>
        <v>33.428571428571431</v>
      </c>
      <c r="AB21" s="540">
        <f t="shared" si="38"/>
        <v>1.2285714285714284</v>
      </c>
      <c r="AC21" s="541">
        <f t="shared" si="38"/>
        <v>1.7</v>
      </c>
      <c r="AD21" s="541">
        <f t="shared" si="38"/>
        <v>0.30571428571428566</v>
      </c>
      <c r="AE21" s="541">
        <f t="shared" si="38"/>
        <v>0.84285714285714286</v>
      </c>
      <c r="AF21" s="541">
        <f t="shared" si="38"/>
        <v>2.2857142857142856</v>
      </c>
      <c r="AG21" s="541">
        <f t="shared" si="38"/>
        <v>2.2857142857142857E-2</v>
      </c>
      <c r="AH21" s="541">
        <f t="shared" si="38"/>
        <v>10.157142857142857</v>
      </c>
      <c r="AI21" s="541">
        <f t="shared" si="38"/>
        <v>0.21285714285714286</v>
      </c>
      <c r="AJ21" s="541">
        <f t="shared" si="38"/>
        <v>0.21285714285714283</v>
      </c>
      <c r="AK21" s="541">
        <f t="shared" si="38"/>
        <v>0.02</v>
      </c>
      <c r="AL21" s="541">
        <f t="shared" si="38"/>
        <v>3.5000000000000003E-2</v>
      </c>
      <c r="AM21" s="541">
        <f t="shared" si="38"/>
        <v>0.3</v>
      </c>
      <c r="AN21" s="541">
        <f t="shared" si="38"/>
        <v>0.01</v>
      </c>
      <c r="AO21" s="541">
        <f t="shared" si="38"/>
        <v>1.4999999999999999E-2</v>
      </c>
      <c r="AP21" s="541">
        <f t="shared" si="38"/>
        <v>7.4999999999999991</v>
      </c>
      <c r="AQ21" s="541" t="e">
        <f t="shared" si="38"/>
        <v>#DIV/0!</v>
      </c>
      <c r="AR21" s="540">
        <f t="shared" si="38"/>
        <v>0.45000000000000007</v>
      </c>
      <c r="AS21" s="540">
        <f t="shared" si="38"/>
        <v>0.79285714285714282</v>
      </c>
      <c r="AT21" s="540">
        <f t="shared" si="38"/>
        <v>0.51428571428571435</v>
      </c>
      <c r="AU21" s="540">
        <f t="shared" si="38"/>
        <v>0.45000000000000007</v>
      </c>
      <c r="AV21" s="540">
        <f t="shared" si="38"/>
        <v>0.88142857142857134</v>
      </c>
      <c r="AW21" s="540">
        <f t="shared" si="38"/>
        <v>1.4142857142857144</v>
      </c>
      <c r="AX21" s="540">
        <f t="shared" si="38"/>
        <v>0.76142857142857145</v>
      </c>
      <c r="AY21" s="540">
        <f t="shared" si="38"/>
        <v>6.6428571428571434E-2</v>
      </c>
      <c r="AZ21" s="540">
        <f t="shared" si="38"/>
        <v>2.9428571428571426</v>
      </c>
      <c r="BA21" s="540">
        <f t="shared" si="38"/>
        <v>1.3285714285714287</v>
      </c>
      <c r="BB21" s="540" t="e">
        <f t="shared" si="38"/>
        <v>#DIV/0!</v>
      </c>
      <c r="CD21" s="691">
        <f>AVERAGE(CD12:CD18)</f>
        <v>0.68617205826668681</v>
      </c>
      <c r="CE21" s="691">
        <f>AVERAGE(CE12:CE18)</f>
        <v>0</v>
      </c>
      <c r="CF21" s="691">
        <f>AVERAGE(CF12:CF18)</f>
        <v>0.53285714285714281</v>
      </c>
      <c r="CG21" s="691">
        <f>AVERAGE(CG12:CG18)</f>
        <v>0.82785714285714285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22.964285714285715</v>
      </c>
      <c r="E22" s="545">
        <f t="shared" ref="E22:BB22" si="39">AVERAGE(E7:E20)</f>
        <v>6.0357142857142873E-2</v>
      </c>
      <c r="F22" s="545">
        <f t="shared" si="39"/>
        <v>0.30928571428571427</v>
      </c>
      <c r="G22" s="544">
        <f t="shared" si="39"/>
        <v>8.0571428571428587</v>
      </c>
      <c r="H22" s="545">
        <f t="shared" si="39"/>
        <v>0.13292857142857142</v>
      </c>
      <c r="I22" s="544">
        <f t="shared" si="39"/>
        <v>2.7528571428571427</v>
      </c>
      <c r="J22" s="545">
        <f t="shared" si="39"/>
        <v>0.16692857142857145</v>
      </c>
      <c r="K22" s="545">
        <f t="shared" si="39"/>
        <v>2.5071428571428574E-2</v>
      </c>
      <c r="L22" s="545">
        <f t="shared" si="39"/>
        <v>3.6785714285714276E-2</v>
      </c>
      <c r="M22" s="544">
        <f t="shared" si="39"/>
        <v>184.28571428571428</v>
      </c>
      <c r="N22" s="544">
        <f t="shared" si="39"/>
        <v>48.071428571428569</v>
      </c>
      <c r="O22" s="544">
        <f t="shared" si="39"/>
        <v>68.571428571428569</v>
      </c>
      <c r="P22" s="544">
        <f t="shared" si="39"/>
        <v>172.71428571428572</v>
      </c>
      <c r="Q22" s="544">
        <f t="shared" si="39"/>
        <v>42.857142857142854</v>
      </c>
      <c r="R22" s="544">
        <f t="shared" si="39"/>
        <v>1.4999999999999999E-2</v>
      </c>
      <c r="S22" s="544">
        <f t="shared" si="39"/>
        <v>3.5214285714285714</v>
      </c>
      <c r="T22" s="544">
        <f t="shared" si="39"/>
        <v>7.7</v>
      </c>
      <c r="U22" s="544">
        <f t="shared" si="39"/>
        <v>1.6214285714285714</v>
      </c>
      <c r="V22" s="544">
        <f t="shared" si="39"/>
        <v>6.2</v>
      </c>
      <c r="W22" s="544">
        <f t="shared" si="39"/>
        <v>104.92857142857143</v>
      </c>
      <c r="X22" s="544">
        <f t="shared" si="39"/>
        <v>8.1538461538461532E-2</v>
      </c>
      <c r="Y22" s="544">
        <f t="shared" si="39"/>
        <v>2.9499999999999993</v>
      </c>
      <c r="Z22" s="544">
        <f t="shared" si="39"/>
        <v>7.0785714285714292</v>
      </c>
      <c r="AA22" s="544">
        <f t="shared" si="39"/>
        <v>31.957142857142856</v>
      </c>
      <c r="AB22" s="544">
        <f t="shared" si="39"/>
        <v>1.1230769230769231</v>
      </c>
      <c r="AC22" s="545">
        <f t="shared" si="39"/>
        <v>1.6021428571428573</v>
      </c>
      <c r="AD22" s="545">
        <f t="shared" si="39"/>
        <v>0.29846153846153844</v>
      </c>
      <c r="AE22" s="545">
        <f t="shared" si="39"/>
        <v>0.77642857142857147</v>
      </c>
      <c r="AF22" s="545">
        <f t="shared" si="39"/>
        <v>1.9192857142857143</v>
      </c>
      <c r="AG22" s="545">
        <f t="shared" si="39"/>
        <v>2.6250000000000002E-2</v>
      </c>
      <c r="AH22" s="545">
        <f t="shared" si="39"/>
        <v>9.9000000000000021</v>
      </c>
      <c r="AI22" s="545">
        <f t="shared" si="39"/>
        <v>0.17692307692307691</v>
      </c>
      <c r="AJ22" s="545">
        <f t="shared" si="39"/>
        <v>0.19214285714285717</v>
      </c>
      <c r="AK22" s="545">
        <f t="shared" si="39"/>
        <v>0.02</v>
      </c>
      <c r="AL22" s="545">
        <f t="shared" si="39"/>
        <v>3.5000000000000003E-2</v>
      </c>
      <c r="AM22" s="545">
        <f t="shared" si="39"/>
        <v>0.29153846153846158</v>
      </c>
      <c r="AN22" s="545">
        <f t="shared" si="39"/>
        <v>0.01</v>
      </c>
      <c r="AO22" s="545">
        <f t="shared" si="39"/>
        <v>2.8500000000000004E-2</v>
      </c>
      <c r="AP22" s="545">
        <f t="shared" si="39"/>
        <v>6.2714285714285714</v>
      </c>
      <c r="AQ22" s="545" t="e">
        <f t="shared" si="39"/>
        <v>#DIV/0!</v>
      </c>
      <c r="AR22" s="544">
        <f t="shared" si="39"/>
        <v>0.45000000000000007</v>
      </c>
      <c r="AS22" s="544">
        <f t="shared" si="39"/>
        <v>0.94499999999999995</v>
      </c>
      <c r="AT22" s="544">
        <f t="shared" si="39"/>
        <v>0.75000000000000011</v>
      </c>
      <c r="AU22" s="544">
        <f t="shared" si="39"/>
        <v>0.51875000000000004</v>
      </c>
      <c r="AV22" s="544">
        <f t="shared" si="39"/>
        <v>0.84769230769230763</v>
      </c>
      <c r="AW22" s="544">
        <f t="shared" si="39"/>
        <v>1.34</v>
      </c>
      <c r="AX22" s="544">
        <f t="shared" si="39"/>
        <v>0.66214285714285726</v>
      </c>
      <c r="AY22" s="544">
        <f t="shared" si="39"/>
        <v>6.8636363636363634E-2</v>
      </c>
      <c r="AZ22" s="544">
        <f t="shared" si="39"/>
        <v>3.1000000000000005</v>
      </c>
      <c r="BA22" s="544">
        <f t="shared" si="39"/>
        <v>1.2607142857142859</v>
      </c>
      <c r="BB22" s="544" t="e">
        <f t="shared" si="39"/>
        <v>#DIV/0!</v>
      </c>
      <c r="CD22" s="691" t="e">
        <f>AVERAGE(CD7:CD20)</f>
        <v>#VALUE!</v>
      </c>
      <c r="CE22" s="691" t="e">
        <f>AVERAGE(CE7:CE20)</f>
        <v>#VALUE!</v>
      </c>
      <c r="CF22" s="691" t="e">
        <f>AVERAGE(CF7:CF20)</f>
        <v>#VALUE!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30">
        <v>7.0000000000000001E-3</v>
      </c>
      <c r="F23" s="29">
        <v>0.01</v>
      </c>
      <c r="G23" s="29">
        <v>4.0000000000000001E-3</v>
      </c>
      <c r="H23" s="30">
        <v>1E-3</v>
      </c>
      <c r="I23" s="29">
        <v>5.0000000000000001E-3</v>
      </c>
      <c r="J23" s="29">
        <v>8.9999999999999998E-4</v>
      </c>
      <c r="K23" s="29">
        <v>1E-3</v>
      </c>
      <c r="L23" s="26">
        <v>7.0000000000000001E-3</v>
      </c>
      <c r="M23" s="30">
        <v>2</v>
      </c>
      <c r="N23" s="29">
        <v>9</v>
      </c>
      <c r="O23" s="29">
        <v>4</v>
      </c>
      <c r="P23" s="29">
        <v>1</v>
      </c>
      <c r="Q23" s="29">
        <v>4</v>
      </c>
      <c r="R23" s="29">
        <v>3.0000000000000002E-2</v>
      </c>
      <c r="S23" s="29">
        <v>0.7</v>
      </c>
      <c r="T23" s="29">
        <v>6.9999999999999993E-2</v>
      </c>
      <c r="U23" s="29">
        <v>0.3</v>
      </c>
      <c r="V23" s="29">
        <v>9.0000000000000011E-2</v>
      </c>
      <c r="W23" s="29">
        <v>0.9</v>
      </c>
      <c r="X23" s="29">
        <v>3.0000000000000002E-2</v>
      </c>
      <c r="Y23" s="29">
        <v>0.1</v>
      </c>
      <c r="Z23" s="29">
        <v>0.04</v>
      </c>
      <c r="AA23" s="29">
        <v>0.2</v>
      </c>
      <c r="AB23" s="29">
        <v>0.2</v>
      </c>
      <c r="AC23" s="29">
        <v>6.0000000000000005E-2</v>
      </c>
      <c r="AD23" s="29">
        <v>9.0000000000000011E-2</v>
      </c>
      <c r="AE23" s="29">
        <v>0.05</v>
      </c>
      <c r="AF23" s="29">
        <v>0.02</v>
      </c>
      <c r="AG23" s="29">
        <v>3.0000000000000002E-2</v>
      </c>
      <c r="AH23" s="29">
        <v>0.1</v>
      </c>
      <c r="AI23" s="29">
        <v>0.05</v>
      </c>
      <c r="AJ23" s="29">
        <v>0.02</v>
      </c>
      <c r="AK23" s="29">
        <v>0.04</v>
      </c>
      <c r="AL23" s="27">
        <v>6.9999999999999993E-2</v>
      </c>
      <c r="AM23" s="58">
        <v>0.04</v>
      </c>
      <c r="AN23" s="58">
        <v>0.02</v>
      </c>
      <c r="AO23" s="58">
        <v>3.0000000000000002E-2</v>
      </c>
      <c r="AP23" s="59">
        <v>0.05</v>
      </c>
      <c r="AQ23" s="60"/>
      <c r="AR23" s="28">
        <v>0.9</v>
      </c>
      <c r="AS23" s="30">
        <v>0.9</v>
      </c>
      <c r="AT23" s="30">
        <v>0.9</v>
      </c>
      <c r="AU23" s="30">
        <v>0.9</v>
      </c>
      <c r="AV23" s="30">
        <v>0.03</v>
      </c>
      <c r="AW23" s="29">
        <v>0.03</v>
      </c>
      <c r="AX23" s="27">
        <v>0.03</v>
      </c>
      <c r="AY23" s="27">
        <v>0.03</v>
      </c>
      <c r="AZ23" s="27"/>
      <c r="BA23" s="27"/>
      <c r="BB23" s="26"/>
    </row>
    <row r="24" spans="2:85" ht="20.149999999999999" customHeight="1" x14ac:dyDescent="0.2">
      <c r="B24" s="692" t="s">
        <v>95</v>
      </c>
      <c r="C24" s="693"/>
      <c r="D24" s="61"/>
      <c r="E24" s="56">
        <v>0.02</v>
      </c>
      <c r="F24" s="55">
        <v>0.04</v>
      </c>
      <c r="G24" s="55">
        <v>0.01</v>
      </c>
      <c r="H24" s="56">
        <v>3.0000000000000001E-3</v>
      </c>
      <c r="I24" s="55">
        <v>0.02</v>
      </c>
      <c r="J24" s="55">
        <v>3.0000000000000001E-3</v>
      </c>
      <c r="K24" s="55">
        <v>4.0000000000000001E-3</v>
      </c>
      <c r="L24" s="52">
        <v>0.02</v>
      </c>
      <c r="M24" s="56">
        <v>7</v>
      </c>
      <c r="N24" s="55">
        <v>30</v>
      </c>
      <c r="O24" s="55">
        <v>10</v>
      </c>
      <c r="P24" s="55">
        <v>4</v>
      </c>
      <c r="Q24" s="55">
        <v>10</v>
      </c>
      <c r="R24" s="55">
        <v>0.1</v>
      </c>
      <c r="S24" s="55">
        <v>2</v>
      </c>
      <c r="T24" s="55">
        <v>0.2</v>
      </c>
      <c r="U24" s="55">
        <v>1</v>
      </c>
      <c r="V24" s="55">
        <v>0.3</v>
      </c>
      <c r="W24" s="55">
        <v>3</v>
      </c>
      <c r="X24" s="55">
        <v>0.1</v>
      </c>
      <c r="Y24" s="55">
        <v>0.3</v>
      </c>
      <c r="Z24" s="55">
        <v>0.1</v>
      </c>
      <c r="AA24" s="55">
        <v>0.7</v>
      </c>
      <c r="AB24" s="55">
        <v>0.5</v>
      </c>
      <c r="AC24" s="55">
        <v>0.2</v>
      </c>
      <c r="AD24" s="55">
        <v>0.3</v>
      </c>
      <c r="AE24" s="55">
        <v>0.2</v>
      </c>
      <c r="AF24" s="55">
        <v>0.08</v>
      </c>
      <c r="AG24" s="55">
        <v>0.1</v>
      </c>
      <c r="AH24" s="55">
        <v>0.3</v>
      </c>
      <c r="AI24" s="55">
        <v>0.2</v>
      </c>
      <c r="AJ24" s="55">
        <v>6.0000000000000005E-2</v>
      </c>
      <c r="AK24" s="55">
        <v>0.1</v>
      </c>
      <c r="AL24" s="53">
        <v>0.2</v>
      </c>
      <c r="AM24" s="53">
        <v>0.1</v>
      </c>
      <c r="AN24" s="53">
        <v>6.9999999999999993E-2</v>
      </c>
      <c r="AO24" s="53">
        <v>0.1</v>
      </c>
      <c r="AP24" s="55">
        <v>0.2</v>
      </c>
      <c r="AQ24" s="52"/>
      <c r="AR24" s="54">
        <v>3</v>
      </c>
      <c r="AS24" s="56">
        <v>3</v>
      </c>
      <c r="AT24" s="56">
        <v>3</v>
      </c>
      <c r="AU24" s="56">
        <v>3</v>
      </c>
      <c r="AV24" s="56">
        <v>0.09</v>
      </c>
      <c r="AW24" s="55">
        <v>0.09</v>
      </c>
      <c r="AX24" s="53">
        <v>0.09</v>
      </c>
      <c r="AY24" s="53">
        <v>0.09</v>
      </c>
      <c r="AZ24" s="53"/>
      <c r="BA24" s="53"/>
      <c r="BB24" s="5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47" priority="6" stopIfTrue="1" operator="notBetween">
      <formula>0.8</formula>
      <formula>1.2</formula>
    </cfRule>
  </conditionalFormatting>
  <conditionalFormatting sqref="BC7:BD20">
    <cfRule type="cellIs" dxfId="46" priority="5" stopIfTrue="1" operator="notBetween">
      <formula>0.9</formula>
      <formula>1.1</formula>
    </cfRule>
  </conditionalFormatting>
  <conditionalFormatting sqref="BP7:BP20">
    <cfRule type="cellIs" dxfId="45" priority="3" stopIfTrue="1" operator="notBetween">
      <formula>0.8</formula>
      <formula>1.2</formula>
    </cfRule>
  </conditionalFormatting>
  <conditionalFormatting sqref="CF7:CF20">
    <cfRule type="cellIs" dxfId="44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R1" zoomScale="70" zoomScaleNormal="70" workbookViewId="0">
      <selection activeCell="Z18" activeCellId="1" sqref="Z12:Z16 Z18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482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642</v>
      </c>
      <c r="C7" s="26" t="s">
        <v>628</v>
      </c>
      <c r="D7" s="27">
        <v>4.4000000000000004</v>
      </c>
      <c r="E7" s="28" t="s">
        <v>483</v>
      </c>
      <c r="F7" s="29">
        <v>8.6999999999999994E-2</v>
      </c>
      <c r="G7" s="29">
        <v>1.2</v>
      </c>
      <c r="H7" s="30">
        <v>0.14000000000000001</v>
      </c>
      <c r="I7" s="29">
        <v>0.32</v>
      </c>
      <c r="J7" s="29" t="s">
        <v>66</v>
      </c>
      <c r="K7" s="29">
        <v>1.6E-2</v>
      </c>
      <c r="L7" s="26">
        <v>4.7E-2</v>
      </c>
      <c r="M7" s="28">
        <v>130</v>
      </c>
      <c r="N7" s="29" t="s">
        <v>484</v>
      </c>
      <c r="O7" s="29" t="s">
        <v>232</v>
      </c>
      <c r="P7" s="29" t="s">
        <v>468</v>
      </c>
      <c r="Q7" s="29" t="s">
        <v>485</v>
      </c>
      <c r="R7" s="29" t="s">
        <v>486</v>
      </c>
      <c r="S7" s="29">
        <v>5.4</v>
      </c>
      <c r="T7" s="29">
        <v>1.7</v>
      </c>
      <c r="U7" s="29">
        <v>1.5</v>
      </c>
      <c r="V7" s="29">
        <v>3.2</v>
      </c>
      <c r="W7" s="29">
        <v>110</v>
      </c>
      <c r="X7" s="29" t="s">
        <v>487</v>
      </c>
      <c r="Y7" s="29">
        <v>1.2</v>
      </c>
      <c r="Z7" s="29">
        <v>52</v>
      </c>
      <c r="AA7" s="29" t="s">
        <v>488</v>
      </c>
      <c r="AB7" s="29" t="s">
        <v>489</v>
      </c>
      <c r="AC7" s="29" t="s">
        <v>490</v>
      </c>
      <c r="AD7" s="29" t="s">
        <v>491</v>
      </c>
      <c r="AE7" s="29" t="s">
        <v>492</v>
      </c>
      <c r="AF7" s="29">
        <v>1.3</v>
      </c>
      <c r="AG7" s="29" t="s">
        <v>493</v>
      </c>
      <c r="AH7" s="29">
        <v>1.8</v>
      </c>
      <c r="AI7" s="29" t="s">
        <v>493</v>
      </c>
      <c r="AJ7" s="29" t="s">
        <v>494</v>
      </c>
      <c r="AK7" s="29" t="s">
        <v>241</v>
      </c>
      <c r="AL7" s="27" t="s">
        <v>469</v>
      </c>
      <c r="AM7" s="27" t="s">
        <v>495</v>
      </c>
      <c r="AN7" s="27" t="s">
        <v>257</v>
      </c>
      <c r="AO7" s="27" t="s">
        <v>244</v>
      </c>
      <c r="AP7" s="29">
        <v>0.7</v>
      </c>
      <c r="AQ7" s="26"/>
      <c r="AR7" s="28" t="s">
        <v>496</v>
      </c>
      <c r="AS7" s="30">
        <v>0.35</v>
      </c>
      <c r="AT7" s="30">
        <v>0.25</v>
      </c>
      <c r="AU7" s="30">
        <v>0.14000000000000001</v>
      </c>
      <c r="AV7" s="30">
        <v>0.13</v>
      </c>
      <c r="AW7" s="29">
        <v>0.15</v>
      </c>
      <c r="AX7" s="27">
        <v>0.32</v>
      </c>
      <c r="AY7" s="27">
        <v>1.4E-2</v>
      </c>
      <c r="AZ7" s="27">
        <v>0.87</v>
      </c>
      <c r="BA7" s="27">
        <v>0.35</v>
      </c>
      <c r="BB7" s="26">
        <v>0.48</v>
      </c>
      <c r="BC7" s="619">
        <f>SUM(AR7:AV7)/AZ7</f>
        <v>1</v>
      </c>
      <c r="BD7" s="610">
        <f>(SUM(AW7:AY7)-AV7)/BA7</f>
        <v>1.0114285714285713</v>
      </c>
      <c r="BF7" s="610" t="e">
        <f>E7/35.5</f>
        <v>#VALUE!</v>
      </c>
      <c r="BG7" s="610">
        <f>F7/62</f>
        <v>1.4032258064516129E-3</v>
      </c>
      <c r="BH7" s="610">
        <f>G7/(96/2)</f>
        <v>2.4999999999999998E-2</v>
      </c>
      <c r="BI7" s="610">
        <f>H7/23</f>
        <v>6.0869565217391312E-3</v>
      </c>
      <c r="BJ7" s="610">
        <f>I7/18</f>
        <v>1.7777777777777778E-2</v>
      </c>
      <c r="BK7" s="610" t="e">
        <f>J7/39</f>
        <v>#VALUE!</v>
      </c>
      <c r="BL7" s="610">
        <f>K7/(24.3/2)</f>
        <v>1.316872427983539E-3</v>
      </c>
      <c r="BM7" s="610">
        <f>L7/(40/2)</f>
        <v>2.3500000000000001E-3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1.65</v>
      </c>
      <c r="BS7" s="564">
        <f>1.29*F7</f>
        <v>0.11223</v>
      </c>
      <c r="BT7" s="564">
        <f>2.5*H7</f>
        <v>0.35000000000000003</v>
      </c>
      <c r="BU7" s="564">
        <f>1.6*AZ7</f>
        <v>1.3920000000000001</v>
      </c>
      <c r="BV7" s="564">
        <f>BA7</f>
        <v>0.35</v>
      </c>
      <c r="BW7" s="564" t="e">
        <f>9.19/1000*N7</f>
        <v>#VALUE!</v>
      </c>
      <c r="BX7" s="564" t="e">
        <f t="shared" ref="BX7:BX20" si="0">Q7/1000*1.4</f>
        <v>#VALUE!</v>
      </c>
      <c r="BY7" s="564">
        <f>W7/1000*1.38</f>
        <v>0.15179999999999999</v>
      </c>
      <c r="BZ7" s="564">
        <f>S7/1000*1.67</f>
        <v>9.018E-3</v>
      </c>
      <c r="CA7" s="564" t="e">
        <f>SUM(BR7:BZ7)</f>
        <v>#VALUE!</v>
      </c>
      <c r="CB7" s="611" t="e">
        <f>CA7/D7</f>
        <v>#VALUE!</v>
      </c>
      <c r="CD7" s="610">
        <f>AZ7/(AZ7+BA7)</f>
        <v>0.71311475409836067</v>
      </c>
      <c r="CE7" s="610">
        <f>BB7/AZ7</f>
        <v>0.55172413793103448</v>
      </c>
      <c r="CF7" s="610">
        <f t="shared" ref="CF7:CF12" si="1">IF(AW7-AV7&gt;0,AW7-AV7,0)</f>
        <v>1.999999999999999E-2</v>
      </c>
      <c r="CG7" s="610">
        <f t="shared" ref="CG7:CG12" si="2">IF(AW7-AV7&gt;0,AX7+AY7,AW7+AX7+AY7-AV7)</f>
        <v>0.33400000000000002</v>
      </c>
    </row>
    <row r="8" spans="2:85" ht="20.149999999999999" customHeight="1" x14ac:dyDescent="0.2">
      <c r="B8" s="31" t="s">
        <v>642</v>
      </c>
      <c r="C8" s="32" t="s">
        <v>629</v>
      </c>
      <c r="D8" s="33">
        <v>7.4</v>
      </c>
      <c r="E8" s="34" t="s">
        <v>483</v>
      </c>
      <c r="F8" s="35">
        <v>0.09</v>
      </c>
      <c r="G8" s="35">
        <v>1.3</v>
      </c>
      <c r="H8" s="36">
        <v>9.1999999999999998E-2</v>
      </c>
      <c r="I8" s="35">
        <v>0.42</v>
      </c>
      <c r="J8" s="35" t="s">
        <v>66</v>
      </c>
      <c r="K8" s="35">
        <v>0.01</v>
      </c>
      <c r="L8" s="32">
        <v>2.1000000000000001E-2</v>
      </c>
      <c r="M8" s="34">
        <v>97</v>
      </c>
      <c r="N8" s="35" t="s">
        <v>484</v>
      </c>
      <c r="O8" s="35" t="s">
        <v>232</v>
      </c>
      <c r="P8" s="35">
        <v>56</v>
      </c>
      <c r="Q8" s="35" t="s">
        <v>485</v>
      </c>
      <c r="R8" s="35" t="s">
        <v>486</v>
      </c>
      <c r="S8" s="35">
        <v>16</v>
      </c>
      <c r="T8" s="35">
        <v>1.2</v>
      </c>
      <c r="U8" s="35">
        <v>1.3</v>
      </c>
      <c r="V8" s="35">
        <v>6.1</v>
      </c>
      <c r="W8" s="35">
        <v>71</v>
      </c>
      <c r="X8" s="35" t="s">
        <v>487</v>
      </c>
      <c r="Y8" s="35" t="s">
        <v>497</v>
      </c>
      <c r="Z8" s="35">
        <v>18</v>
      </c>
      <c r="AA8" s="35">
        <v>17</v>
      </c>
      <c r="AB8" s="35" t="s">
        <v>489</v>
      </c>
      <c r="AC8" s="35" t="s">
        <v>490</v>
      </c>
      <c r="AD8" s="35" t="s">
        <v>491</v>
      </c>
      <c r="AE8" s="35" t="s">
        <v>492</v>
      </c>
      <c r="AF8" s="35">
        <v>1</v>
      </c>
      <c r="AG8" s="35" t="s">
        <v>493</v>
      </c>
      <c r="AH8" s="35">
        <v>5</v>
      </c>
      <c r="AI8" s="35" t="s">
        <v>493</v>
      </c>
      <c r="AJ8" s="35" t="s">
        <v>494</v>
      </c>
      <c r="AK8" s="35" t="s">
        <v>241</v>
      </c>
      <c r="AL8" s="33" t="s">
        <v>469</v>
      </c>
      <c r="AM8" s="33" t="s">
        <v>495</v>
      </c>
      <c r="AN8" s="33" t="s">
        <v>257</v>
      </c>
      <c r="AO8" s="33" t="s">
        <v>244</v>
      </c>
      <c r="AP8" s="35">
        <v>1.5</v>
      </c>
      <c r="AQ8" s="32"/>
      <c r="AR8" s="34">
        <v>0.14000000000000001</v>
      </c>
      <c r="AS8" s="36">
        <v>0.85</v>
      </c>
      <c r="AT8" s="36">
        <v>0.77</v>
      </c>
      <c r="AU8" s="36">
        <v>0.4</v>
      </c>
      <c r="AV8" s="36">
        <v>0.36</v>
      </c>
      <c r="AW8" s="35">
        <v>0.63</v>
      </c>
      <c r="AX8" s="33">
        <v>0.69</v>
      </c>
      <c r="AY8" s="33">
        <v>5.7000000000000002E-2</v>
      </c>
      <c r="AZ8" s="33">
        <v>2.5</v>
      </c>
      <c r="BA8" s="33">
        <v>1</v>
      </c>
      <c r="BB8" s="32">
        <v>1.7</v>
      </c>
      <c r="BC8" s="619">
        <f t="shared" ref="BC8:BC20" si="3">SUM(AR8:AV8)/AZ8</f>
        <v>1.008</v>
      </c>
      <c r="BD8" s="610">
        <f t="shared" ref="BD8:BD20" si="4">(SUM(AW8:AY8)-AV8)/BA8</f>
        <v>1.0169999999999999</v>
      </c>
      <c r="BF8" s="610" t="e">
        <f t="shared" ref="BF8:BF20" si="5">E8/35.5</f>
        <v>#VALUE!</v>
      </c>
      <c r="BG8" s="610">
        <f t="shared" ref="BG8:BG20" si="6">F8/62</f>
        <v>1.4516129032258063E-3</v>
      </c>
      <c r="BH8" s="610">
        <f t="shared" ref="BH8:BH20" si="7">G8/(96/2)</f>
        <v>2.7083333333333334E-2</v>
      </c>
      <c r="BI8" s="610">
        <f t="shared" ref="BI8:BI20" si="8">H8/23</f>
        <v>4.0000000000000001E-3</v>
      </c>
      <c r="BJ8" s="610">
        <f t="shared" ref="BJ8:BJ20" si="9">I8/18</f>
        <v>2.3333333333333331E-2</v>
      </c>
      <c r="BK8" s="610" t="e">
        <f t="shared" ref="BK8:BK20" si="10">J8/39</f>
        <v>#VALUE!</v>
      </c>
      <c r="BL8" s="610">
        <f t="shared" ref="BL8:BL20" si="11">K8/(24.3/2)</f>
        <v>8.2304526748971192E-4</v>
      </c>
      <c r="BM8" s="610">
        <f t="shared" ref="BM8:BM20" si="12">L8/(40/2)</f>
        <v>1.0500000000000002E-3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1.7875000000000001</v>
      </c>
      <c r="BS8" s="564">
        <f t="shared" ref="BS8:BS20" si="17">1.29*F8</f>
        <v>0.11609999999999999</v>
      </c>
      <c r="BT8" s="564">
        <f t="shared" ref="BT8:BT20" si="18">2.5*H8</f>
        <v>0.22999999999999998</v>
      </c>
      <c r="BU8" s="564">
        <f t="shared" ref="BU8:BU20" si="19">1.6*AZ8</f>
        <v>4</v>
      </c>
      <c r="BV8" s="564">
        <f t="shared" ref="BV8:BV20" si="20">BA8</f>
        <v>1</v>
      </c>
      <c r="BW8" s="564" t="e">
        <f t="shared" ref="BW8:BW20" si="21">9.19/1000*N8</f>
        <v>#VALUE!</v>
      </c>
      <c r="BX8" s="564" t="e">
        <f t="shared" si="0"/>
        <v>#VALUE!</v>
      </c>
      <c r="BY8" s="564">
        <f t="shared" ref="BY8:BY20" si="22">W8/1000*1.38</f>
        <v>9.7979999999999984E-2</v>
      </c>
      <c r="BZ8" s="564">
        <f t="shared" ref="BZ8:BZ20" si="23">S8/1000*1.67</f>
        <v>2.6720000000000001E-2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0.7142857142857143</v>
      </c>
      <c r="CE8" s="610">
        <f t="shared" ref="CE8:CE20" si="27">BB8/AZ8</f>
        <v>0.67999999999999994</v>
      </c>
      <c r="CF8" s="610">
        <f t="shared" si="1"/>
        <v>0.27</v>
      </c>
      <c r="CG8" s="610">
        <f t="shared" si="2"/>
        <v>0.747</v>
      </c>
    </row>
    <row r="9" spans="2:85" ht="20.149999999999999" customHeight="1" x14ac:dyDescent="0.2">
      <c r="B9" s="31" t="s">
        <v>642</v>
      </c>
      <c r="C9" s="37" t="s">
        <v>630</v>
      </c>
      <c r="D9" s="33">
        <v>18.7</v>
      </c>
      <c r="E9" s="34" t="s">
        <v>483</v>
      </c>
      <c r="F9" s="35">
        <v>0.35</v>
      </c>
      <c r="G9" s="35">
        <v>3.9</v>
      </c>
      <c r="H9" s="36">
        <v>0.13</v>
      </c>
      <c r="I9" s="35">
        <v>1.5</v>
      </c>
      <c r="J9" s="35">
        <v>0.15</v>
      </c>
      <c r="K9" s="35">
        <v>1.2999999999999999E-2</v>
      </c>
      <c r="L9" s="32">
        <v>4.2999999999999997E-2</v>
      </c>
      <c r="M9" s="34">
        <v>77</v>
      </c>
      <c r="N9" s="35" t="s">
        <v>484</v>
      </c>
      <c r="O9" s="35" t="s">
        <v>232</v>
      </c>
      <c r="P9" s="35">
        <v>90</v>
      </c>
      <c r="Q9" s="35">
        <v>66</v>
      </c>
      <c r="R9" s="35" t="s">
        <v>486</v>
      </c>
      <c r="S9" s="35">
        <v>6.3</v>
      </c>
      <c r="T9" s="35">
        <v>19</v>
      </c>
      <c r="U9" s="35">
        <v>2.2000000000000002</v>
      </c>
      <c r="V9" s="35">
        <v>10</v>
      </c>
      <c r="W9" s="35">
        <v>160</v>
      </c>
      <c r="X9" s="35" t="s">
        <v>487</v>
      </c>
      <c r="Y9" s="35">
        <v>5.9</v>
      </c>
      <c r="Z9" s="35">
        <v>110</v>
      </c>
      <c r="AA9" s="35">
        <v>32</v>
      </c>
      <c r="AB9" s="35" t="s">
        <v>489</v>
      </c>
      <c r="AC9" s="35">
        <v>0.96</v>
      </c>
      <c r="AD9" s="35" t="s">
        <v>491</v>
      </c>
      <c r="AE9" s="35">
        <v>0.99</v>
      </c>
      <c r="AF9" s="35">
        <v>1.5</v>
      </c>
      <c r="AG9" s="35" t="s">
        <v>493</v>
      </c>
      <c r="AH9" s="35">
        <v>7.5</v>
      </c>
      <c r="AI9" s="35" t="s">
        <v>493</v>
      </c>
      <c r="AJ9" s="35" t="s">
        <v>494</v>
      </c>
      <c r="AK9" s="35" t="s">
        <v>241</v>
      </c>
      <c r="AL9" s="33" t="s">
        <v>469</v>
      </c>
      <c r="AM9" s="33">
        <v>0.15</v>
      </c>
      <c r="AN9" s="33" t="s">
        <v>257</v>
      </c>
      <c r="AO9" s="33" t="s">
        <v>244</v>
      </c>
      <c r="AP9" s="35">
        <v>4.9000000000000004</v>
      </c>
      <c r="AQ9" s="32"/>
      <c r="AR9" s="34">
        <v>0.25</v>
      </c>
      <c r="AS9" s="36">
        <v>1.8</v>
      </c>
      <c r="AT9" s="36">
        <v>1.3</v>
      </c>
      <c r="AU9" s="36">
        <v>0.74</v>
      </c>
      <c r="AV9" s="36">
        <v>1.1000000000000001</v>
      </c>
      <c r="AW9" s="35">
        <v>2.1</v>
      </c>
      <c r="AX9" s="33">
        <v>1.1000000000000001</v>
      </c>
      <c r="AY9" s="33">
        <v>0.11</v>
      </c>
      <c r="AZ9" s="33">
        <v>5.2</v>
      </c>
      <c r="BA9" s="33">
        <v>2.2000000000000002</v>
      </c>
      <c r="BB9" s="32">
        <v>4</v>
      </c>
      <c r="BC9" s="619">
        <f t="shared" si="3"/>
        <v>0.99807692307692297</v>
      </c>
      <c r="BD9" s="610">
        <f t="shared" si="4"/>
        <v>1.0045454545454544</v>
      </c>
      <c r="BF9" s="610" t="e">
        <f t="shared" si="5"/>
        <v>#VALUE!</v>
      </c>
      <c r="BG9" s="610">
        <f t="shared" si="6"/>
        <v>5.6451612903225803E-3</v>
      </c>
      <c r="BH9" s="610">
        <f t="shared" si="7"/>
        <v>8.1250000000000003E-2</v>
      </c>
      <c r="BI9" s="610">
        <f t="shared" si="8"/>
        <v>5.6521739130434784E-3</v>
      </c>
      <c r="BJ9" s="610">
        <f t="shared" si="9"/>
        <v>8.3333333333333329E-2</v>
      </c>
      <c r="BK9" s="610">
        <f t="shared" si="10"/>
        <v>3.8461538461538459E-3</v>
      </c>
      <c r="BL9" s="610">
        <f t="shared" si="11"/>
        <v>1.0699588477366254E-3</v>
      </c>
      <c r="BM9" s="610">
        <f t="shared" si="12"/>
        <v>2.15E-3</v>
      </c>
      <c r="BN9" s="563" t="e">
        <f t="shared" si="13"/>
        <v>#VALUE!</v>
      </c>
      <c r="BO9" s="563">
        <f t="shared" si="14"/>
        <v>96.051619940267287</v>
      </c>
      <c r="BP9" s="611" t="e">
        <f t="shared" si="15"/>
        <v>#VALUE!</v>
      </c>
      <c r="BR9" s="564">
        <f t="shared" si="16"/>
        <v>5.3624999999999998</v>
      </c>
      <c r="BS9" s="564">
        <f t="shared" si="17"/>
        <v>0.45149999999999996</v>
      </c>
      <c r="BT9" s="564">
        <f t="shared" si="18"/>
        <v>0.32500000000000001</v>
      </c>
      <c r="BU9" s="564">
        <f t="shared" si="19"/>
        <v>8.32</v>
      </c>
      <c r="BV9" s="564">
        <f t="shared" si="20"/>
        <v>2.2000000000000002</v>
      </c>
      <c r="BW9" s="564" t="e">
        <f t="shared" si="21"/>
        <v>#VALUE!</v>
      </c>
      <c r="BX9" s="564">
        <f t="shared" si="0"/>
        <v>9.2399999999999996E-2</v>
      </c>
      <c r="BY9" s="564">
        <f t="shared" si="22"/>
        <v>0.2208</v>
      </c>
      <c r="BZ9" s="564">
        <f t="shared" si="23"/>
        <v>1.0520999999999999E-2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0.70270270270270274</v>
      </c>
      <c r="CE9" s="610">
        <f t="shared" si="27"/>
        <v>0.76923076923076916</v>
      </c>
      <c r="CF9" s="610">
        <f t="shared" si="1"/>
        <v>1</v>
      </c>
      <c r="CG9" s="610">
        <f t="shared" si="2"/>
        <v>1.2100000000000002</v>
      </c>
    </row>
    <row r="10" spans="2:85" ht="20.149999999999999" customHeight="1" x14ac:dyDescent="0.2">
      <c r="B10" s="31" t="s">
        <v>642</v>
      </c>
      <c r="C10" s="32" t="s">
        <v>631</v>
      </c>
      <c r="D10" s="33">
        <v>25</v>
      </c>
      <c r="E10" s="34" t="s">
        <v>483</v>
      </c>
      <c r="F10" s="35">
        <v>0.11</v>
      </c>
      <c r="G10" s="35">
        <v>5.7</v>
      </c>
      <c r="H10" s="36">
        <v>0.18</v>
      </c>
      <c r="I10" s="35">
        <v>1.9</v>
      </c>
      <c r="J10" s="35">
        <v>0.2</v>
      </c>
      <c r="K10" s="35">
        <v>3.1E-2</v>
      </c>
      <c r="L10" s="32">
        <v>4.3999999999999997E-2</v>
      </c>
      <c r="M10" s="34">
        <v>130</v>
      </c>
      <c r="N10" s="35" t="s">
        <v>484</v>
      </c>
      <c r="O10" s="35" t="s">
        <v>232</v>
      </c>
      <c r="P10" s="35">
        <v>180</v>
      </c>
      <c r="Q10" s="35" t="s">
        <v>485</v>
      </c>
      <c r="R10" s="35" t="s">
        <v>486</v>
      </c>
      <c r="S10" s="35">
        <v>4.7</v>
      </c>
      <c r="T10" s="35">
        <v>6.4</v>
      </c>
      <c r="U10" s="35">
        <v>1.4</v>
      </c>
      <c r="V10" s="35">
        <v>5.6</v>
      </c>
      <c r="W10" s="35">
        <v>82</v>
      </c>
      <c r="X10" s="35" t="s">
        <v>487</v>
      </c>
      <c r="Y10" s="35">
        <v>1.6</v>
      </c>
      <c r="Z10" s="35">
        <v>18</v>
      </c>
      <c r="AA10" s="35">
        <v>26</v>
      </c>
      <c r="AB10" s="35">
        <v>0.75</v>
      </c>
      <c r="AC10" s="35">
        <v>1.4</v>
      </c>
      <c r="AD10" s="35" t="s">
        <v>491</v>
      </c>
      <c r="AE10" s="35">
        <v>0.56999999999999995</v>
      </c>
      <c r="AF10" s="35">
        <v>1.4</v>
      </c>
      <c r="AG10" s="35" t="s">
        <v>493</v>
      </c>
      <c r="AH10" s="35">
        <v>10</v>
      </c>
      <c r="AI10" s="35" t="s">
        <v>493</v>
      </c>
      <c r="AJ10" s="35" t="s">
        <v>494</v>
      </c>
      <c r="AK10" s="35" t="s">
        <v>241</v>
      </c>
      <c r="AL10" s="33" t="s">
        <v>469</v>
      </c>
      <c r="AM10" s="33">
        <v>0.45</v>
      </c>
      <c r="AN10" s="33" t="s">
        <v>257</v>
      </c>
      <c r="AO10" s="33" t="s">
        <v>244</v>
      </c>
      <c r="AP10" s="35">
        <v>2.6</v>
      </c>
      <c r="AQ10" s="32"/>
      <c r="AR10" s="34">
        <v>0.37</v>
      </c>
      <c r="AS10" s="36">
        <v>2.6</v>
      </c>
      <c r="AT10" s="36">
        <v>1.8</v>
      </c>
      <c r="AU10" s="36">
        <v>0.93</v>
      </c>
      <c r="AV10" s="36">
        <v>1.9</v>
      </c>
      <c r="AW10" s="35">
        <v>2.6</v>
      </c>
      <c r="AX10" s="33">
        <v>1.1000000000000001</v>
      </c>
      <c r="AY10" s="33">
        <v>0.16</v>
      </c>
      <c r="AZ10" s="33">
        <v>7.6</v>
      </c>
      <c r="BA10" s="33">
        <v>2</v>
      </c>
      <c r="BB10" s="32">
        <v>6.5</v>
      </c>
      <c r="BC10" s="619">
        <f t="shared" si="3"/>
        <v>1</v>
      </c>
      <c r="BD10" s="610">
        <f t="shared" si="4"/>
        <v>0.9800000000000002</v>
      </c>
      <c r="BF10" s="610" t="e">
        <f t="shared" si="5"/>
        <v>#VALUE!</v>
      </c>
      <c r="BG10" s="610">
        <f t="shared" si="6"/>
        <v>1.7741935483870969E-3</v>
      </c>
      <c r="BH10" s="610">
        <f t="shared" si="7"/>
        <v>0.11875000000000001</v>
      </c>
      <c r="BI10" s="610">
        <f t="shared" si="8"/>
        <v>7.826086956521738E-3</v>
      </c>
      <c r="BJ10" s="610">
        <f t="shared" si="9"/>
        <v>0.10555555555555556</v>
      </c>
      <c r="BK10" s="610">
        <f t="shared" si="10"/>
        <v>5.1282051282051282E-3</v>
      </c>
      <c r="BL10" s="610">
        <f t="shared" si="11"/>
        <v>2.5514403292181071E-3</v>
      </c>
      <c r="BM10" s="610">
        <f t="shared" si="12"/>
        <v>2.1999999999999997E-3</v>
      </c>
      <c r="BN10" s="563" t="e">
        <f t="shared" si="13"/>
        <v>#VALUE!</v>
      </c>
      <c r="BO10" s="563">
        <f t="shared" si="14"/>
        <v>123.26128796950051</v>
      </c>
      <c r="BP10" s="611" t="e">
        <f t="shared" si="15"/>
        <v>#VALUE!</v>
      </c>
      <c r="BR10" s="564">
        <f t="shared" si="16"/>
        <v>7.8375000000000004</v>
      </c>
      <c r="BS10" s="564">
        <f t="shared" si="17"/>
        <v>0.1419</v>
      </c>
      <c r="BT10" s="564">
        <f t="shared" si="18"/>
        <v>0.44999999999999996</v>
      </c>
      <c r="BU10" s="564">
        <f t="shared" si="19"/>
        <v>12.16</v>
      </c>
      <c r="BV10" s="564">
        <f t="shared" si="20"/>
        <v>2</v>
      </c>
      <c r="BW10" s="564" t="e">
        <f t="shared" si="21"/>
        <v>#VALUE!</v>
      </c>
      <c r="BX10" s="564" t="e">
        <f t="shared" si="0"/>
        <v>#VALUE!</v>
      </c>
      <c r="BY10" s="564">
        <f t="shared" si="22"/>
        <v>0.11316</v>
      </c>
      <c r="BZ10" s="564">
        <f t="shared" si="23"/>
        <v>7.8490000000000001E-3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0.79166666666666663</v>
      </c>
      <c r="CE10" s="610">
        <f t="shared" si="27"/>
        <v>0.85526315789473684</v>
      </c>
      <c r="CF10" s="610">
        <f t="shared" si="1"/>
        <v>0.70000000000000018</v>
      </c>
      <c r="CG10" s="610">
        <f t="shared" si="2"/>
        <v>1.26</v>
      </c>
    </row>
    <row r="11" spans="2:85" ht="20.149999999999999" customHeight="1" thickBot="1" x14ac:dyDescent="0.25">
      <c r="B11" s="39" t="s">
        <v>642</v>
      </c>
      <c r="C11" s="40" t="s">
        <v>632</v>
      </c>
      <c r="D11" s="41">
        <v>26.8</v>
      </c>
      <c r="E11" s="42" t="s">
        <v>483</v>
      </c>
      <c r="F11" s="43">
        <v>0.16</v>
      </c>
      <c r="G11" s="43">
        <v>8.3000000000000007</v>
      </c>
      <c r="H11" s="44">
        <v>0.23</v>
      </c>
      <c r="I11" s="43">
        <v>2.8</v>
      </c>
      <c r="J11" s="43">
        <v>0.19</v>
      </c>
      <c r="K11" s="43">
        <v>3.6999999999999998E-2</v>
      </c>
      <c r="L11" s="45">
        <v>5.0999999999999997E-2</v>
      </c>
      <c r="M11" s="42">
        <v>230</v>
      </c>
      <c r="N11" s="43" t="s">
        <v>484</v>
      </c>
      <c r="O11" s="43" t="s">
        <v>232</v>
      </c>
      <c r="P11" s="43">
        <v>210</v>
      </c>
      <c r="Q11" s="43" t="s">
        <v>485</v>
      </c>
      <c r="R11" s="43" t="s">
        <v>486</v>
      </c>
      <c r="S11" s="43">
        <v>4.0999999999999996</v>
      </c>
      <c r="T11" s="43">
        <v>12</v>
      </c>
      <c r="U11" s="43">
        <v>1.8</v>
      </c>
      <c r="V11" s="43">
        <v>5.7</v>
      </c>
      <c r="W11" s="43">
        <v>130</v>
      </c>
      <c r="X11" s="43" t="s">
        <v>487</v>
      </c>
      <c r="Y11" s="43">
        <v>3.7</v>
      </c>
      <c r="Z11" s="43">
        <v>23</v>
      </c>
      <c r="AA11" s="43">
        <v>32</v>
      </c>
      <c r="AB11" s="43" t="s">
        <v>489</v>
      </c>
      <c r="AC11" s="43">
        <v>1.8</v>
      </c>
      <c r="AD11" s="43" t="s">
        <v>491</v>
      </c>
      <c r="AE11" s="43">
        <v>1.3</v>
      </c>
      <c r="AF11" s="43">
        <v>1.4</v>
      </c>
      <c r="AG11" s="43" t="s">
        <v>493</v>
      </c>
      <c r="AH11" s="43">
        <v>13</v>
      </c>
      <c r="AI11" s="43" t="s">
        <v>493</v>
      </c>
      <c r="AJ11" s="43" t="s">
        <v>494</v>
      </c>
      <c r="AK11" s="43" t="s">
        <v>241</v>
      </c>
      <c r="AL11" s="41" t="s">
        <v>469</v>
      </c>
      <c r="AM11" s="41">
        <v>0.26</v>
      </c>
      <c r="AN11" s="41" t="s">
        <v>257</v>
      </c>
      <c r="AO11" s="41" t="s">
        <v>244</v>
      </c>
      <c r="AP11" s="43">
        <v>4.8</v>
      </c>
      <c r="AQ11" s="45"/>
      <c r="AR11" s="42">
        <v>0.24</v>
      </c>
      <c r="AS11" s="44">
        <v>2.1</v>
      </c>
      <c r="AT11" s="44">
        <v>1.1000000000000001</v>
      </c>
      <c r="AU11" s="44">
        <v>0.67</v>
      </c>
      <c r="AV11" s="44">
        <v>1.8</v>
      </c>
      <c r="AW11" s="43">
        <v>2</v>
      </c>
      <c r="AX11" s="41">
        <v>1.1000000000000001</v>
      </c>
      <c r="AY11" s="41">
        <v>9.1999999999999998E-2</v>
      </c>
      <c r="AZ11" s="41">
        <v>5.9</v>
      </c>
      <c r="BA11" s="41">
        <v>1.4</v>
      </c>
      <c r="BB11" s="45">
        <v>5.5</v>
      </c>
      <c r="BC11" s="620">
        <f t="shared" si="3"/>
        <v>1.0016949152542372</v>
      </c>
      <c r="BD11" s="617">
        <f t="shared" si="4"/>
        <v>0.99428571428571444</v>
      </c>
      <c r="BE11" s="616"/>
      <c r="BF11" s="617" t="e">
        <f t="shared" si="5"/>
        <v>#VALUE!</v>
      </c>
      <c r="BG11" s="617">
        <f t="shared" si="6"/>
        <v>2.5806451612903226E-3</v>
      </c>
      <c r="BH11" s="617">
        <f t="shared" si="7"/>
        <v>0.17291666666666669</v>
      </c>
      <c r="BI11" s="617">
        <f t="shared" si="8"/>
        <v>0.01</v>
      </c>
      <c r="BJ11" s="617">
        <f t="shared" si="9"/>
        <v>0.15555555555555556</v>
      </c>
      <c r="BK11" s="617">
        <f t="shared" si="10"/>
        <v>4.871794871794872E-3</v>
      </c>
      <c r="BL11" s="617">
        <f t="shared" si="11"/>
        <v>3.0452674897119337E-3</v>
      </c>
      <c r="BM11" s="617">
        <f t="shared" si="12"/>
        <v>2.5499999999999997E-3</v>
      </c>
      <c r="BN11" s="621" t="e">
        <f t="shared" si="13"/>
        <v>#VALUE!</v>
      </c>
      <c r="BO11" s="621">
        <f t="shared" si="14"/>
        <v>176.02261791706238</v>
      </c>
      <c r="BP11" s="618" t="e">
        <f t="shared" si="15"/>
        <v>#VALUE!</v>
      </c>
      <c r="BQ11" s="616"/>
      <c r="BR11" s="615">
        <f t="shared" si="16"/>
        <v>11.412500000000001</v>
      </c>
      <c r="BS11" s="615">
        <f t="shared" si="17"/>
        <v>0.2064</v>
      </c>
      <c r="BT11" s="615">
        <f t="shared" si="18"/>
        <v>0.57500000000000007</v>
      </c>
      <c r="BU11" s="615">
        <f t="shared" si="19"/>
        <v>9.4400000000000013</v>
      </c>
      <c r="BV11" s="615">
        <f t="shared" si="20"/>
        <v>1.4</v>
      </c>
      <c r="BW11" s="615" t="e">
        <f t="shared" si="21"/>
        <v>#VALUE!</v>
      </c>
      <c r="BX11" s="615" t="e">
        <f t="shared" si="0"/>
        <v>#VALUE!</v>
      </c>
      <c r="BY11" s="615">
        <f t="shared" si="22"/>
        <v>0.1794</v>
      </c>
      <c r="BZ11" s="615">
        <f t="shared" si="23"/>
        <v>6.8469999999999989E-3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0.80821917808219179</v>
      </c>
      <c r="CE11" s="617">
        <f t="shared" si="27"/>
        <v>0.93220338983050843</v>
      </c>
      <c r="CF11" s="617">
        <f t="shared" si="1"/>
        <v>0.19999999999999996</v>
      </c>
      <c r="CG11" s="617">
        <f t="shared" si="2"/>
        <v>1.1920000000000002</v>
      </c>
    </row>
    <row r="12" spans="2:85" ht="20.149999999999999" customHeight="1" x14ac:dyDescent="0.2">
      <c r="B12" s="31" t="s">
        <v>643</v>
      </c>
      <c r="C12" s="46" t="s">
        <v>633</v>
      </c>
      <c r="D12" s="47">
        <v>15.6</v>
      </c>
      <c r="E12" s="630">
        <f t="shared" ref="E12:E18" si="28">0.5*0.081</f>
        <v>4.0500000000000001E-2</v>
      </c>
      <c r="F12" s="49">
        <v>0.12</v>
      </c>
      <c r="G12" s="49">
        <v>4.5999999999999996</v>
      </c>
      <c r="H12" s="50">
        <v>0.33</v>
      </c>
      <c r="I12" s="49">
        <v>1.5</v>
      </c>
      <c r="J12" s="625">
        <f>0.5*0.12</f>
        <v>0.06</v>
      </c>
      <c r="K12" s="49">
        <v>3.5000000000000003E-2</v>
      </c>
      <c r="L12" s="37">
        <v>4.9000000000000002E-2</v>
      </c>
      <c r="M12" s="48">
        <v>280</v>
      </c>
      <c r="N12" s="625">
        <f t="shared" ref="N12:N18" si="29">0.5*43</f>
        <v>21.5</v>
      </c>
      <c r="O12" s="49" t="s">
        <v>232</v>
      </c>
      <c r="P12" s="49">
        <v>75</v>
      </c>
      <c r="Q12" s="49">
        <v>86</v>
      </c>
      <c r="R12" s="625">
        <f t="shared" ref="R12:R18" si="30">0.5*0.26</f>
        <v>0.13</v>
      </c>
      <c r="S12" s="49">
        <v>3</v>
      </c>
      <c r="T12" s="49">
        <v>6.1</v>
      </c>
      <c r="U12" s="625">
        <f>0.5*0.67</f>
        <v>0.33500000000000002</v>
      </c>
      <c r="V12" s="49">
        <v>4.5999999999999996</v>
      </c>
      <c r="W12" s="49">
        <v>85</v>
      </c>
      <c r="X12" s="625">
        <f t="shared" ref="X12:X18" si="31">0.5*0.43</f>
        <v>0.215</v>
      </c>
      <c r="Y12" s="49">
        <v>1.2</v>
      </c>
      <c r="Z12" s="49">
        <v>33</v>
      </c>
      <c r="AA12" s="49">
        <v>18</v>
      </c>
      <c r="AB12" s="625">
        <f>0.5*0.7</f>
        <v>0.35</v>
      </c>
      <c r="AC12" s="49">
        <v>1.1000000000000001</v>
      </c>
      <c r="AD12" s="625">
        <f t="shared" ref="AD12:AD18" si="32">0.5*0.77</f>
        <v>0.38500000000000001</v>
      </c>
      <c r="AE12" s="625">
        <f>0.5*0.34</f>
        <v>0.17</v>
      </c>
      <c r="AF12" s="49">
        <v>0.86</v>
      </c>
      <c r="AG12" s="625">
        <f t="shared" ref="AG12:AG18" si="33">0.5*0.51</f>
        <v>0.255</v>
      </c>
      <c r="AH12" s="49">
        <v>4.2</v>
      </c>
      <c r="AI12" s="625">
        <f t="shared" ref="AI12:AI18" si="34">0.5*0.51</f>
        <v>0.255</v>
      </c>
      <c r="AJ12" s="625">
        <f t="shared" ref="AJ12:AJ18" si="35">0.5*0.44</f>
        <v>0.22</v>
      </c>
      <c r="AK12" s="625">
        <f t="shared" ref="AK12:AK18" si="36">0.5*0.33</f>
        <v>0.16500000000000001</v>
      </c>
      <c r="AL12" s="627">
        <f t="shared" ref="AL12:AL18" si="37">0.5*0.48</f>
        <v>0.24</v>
      </c>
      <c r="AM12" s="627">
        <f>0.5*0.14</f>
        <v>7.0000000000000007E-2</v>
      </c>
      <c r="AN12" s="627">
        <f t="shared" ref="AN12:AN18" si="38">0.5*0.04</f>
        <v>0.02</v>
      </c>
      <c r="AO12" s="627">
        <f t="shared" ref="AO12:AO18" si="39">0.5*0.37</f>
        <v>0.185</v>
      </c>
      <c r="AP12" s="49">
        <v>2.7</v>
      </c>
      <c r="AQ12" s="37"/>
      <c r="AR12" s="48">
        <v>0.1</v>
      </c>
      <c r="AS12" s="50">
        <v>1.4</v>
      </c>
      <c r="AT12" s="50">
        <v>0.85</v>
      </c>
      <c r="AU12" s="50">
        <v>0.52</v>
      </c>
      <c r="AV12" s="50">
        <v>0.97</v>
      </c>
      <c r="AW12" s="49">
        <v>1.3</v>
      </c>
      <c r="AX12" s="47">
        <v>0.69</v>
      </c>
      <c r="AY12" s="47">
        <v>6.5000000000000002E-2</v>
      </c>
      <c r="AZ12" s="47">
        <v>3.8</v>
      </c>
      <c r="BA12" s="47">
        <v>1.1000000000000001</v>
      </c>
      <c r="BB12" s="37">
        <v>3.3</v>
      </c>
      <c r="BC12" s="619">
        <f t="shared" si="3"/>
        <v>1.0105263157894737</v>
      </c>
      <c r="BD12" s="610">
        <f t="shared" si="4"/>
        <v>0.98636363636363644</v>
      </c>
      <c r="BF12" s="610">
        <f t="shared" si="5"/>
        <v>1.1408450704225353E-3</v>
      </c>
      <c r="BG12" s="610">
        <f t="shared" si="6"/>
        <v>1.9354838709677419E-3</v>
      </c>
      <c r="BH12" s="610">
        <f t="shared" si="7"/>
        <v>9.5833333333333326E-2</v>
      </c>
      <c r="BI12" s="610">
        <f t="shared" si="8"/>
        <v>1.4347826086956523E-2</v>
      </c>
      <c r="BJ12" s="610">
        <f t="shared" si="9"/>
        <v>8.3333333333333329E-2</v>
      </c>
      <c r="BK12" s="610">
        <f t="shared" si="10"/>
        <v>1.5384615384615385E-3</v>
      </c>
      <c r="BL12" s="610">
        <f t="shared" si="11"/>
        <v>2.8806584362139919E-3</v>
      </c>
      <c r="BM12" s="610">
        <f t="shared" si="12"/>
        <v>2.4499999999999999E-3</v>
      </c>
      <c r="BN12" s="563">
        <f t="shared" si="13"/>
        <v>98.909662274723601</v>
      </c>
      <c r="BO12" s="563">
        <f t="shared" si="14"/>
        <v>104.55027939496537</v>
      </c>
      <c r="BP12" s="611">
        <f t="shared" si="15"/>
        <v>0.94604876091308276</v>
      </c>
      <c r="BR12" s="564">
        <f t="shared" si="16"/>
        <v>6.3249999999999993</v>
      </c>
      <c r="BS12" s="564">
        <f t="shared" si="17"/>
        <v>0.15479999999999999</v>
      </c>
      <c r="BT12" s="564">
        <f t="shared" si="18"/>
        <v>0.82500000000000007</v>
      </c>
      <c r="BU12" s="564">
        <f t="shared" si="19"/>
        <v>6.08</v>
      </c>
      <c r="BV12" s="564">
        <f t="shared" si="20"/>
        <v>1.1000000000000001</v>
      </c>
      <c r="BW12" s="564">
        <f t="shared" si="21"/>
        <v>0.19758500000000001</v>
      </c>
      <c r="BX12" s="564">
        <f t="shared" si="0"/>
        <v>0.12039999999999998</v>
      </c>
      <c r="BY12" s="564">
        <f t="shared" si="22"/>
        <v>0.1173</v>
      </c>
      <c r="BZ12" s="564">
        <f t="shared" si="23"/>
        <v>5.0099999999999997E-3</v>
      </c>
      <c r="CA12" s="564">
        <f t="shared" si="24"/>
        <v>14.925094999999999</v>
      </c>
      <c r="CB12" s="611">
        <f t="shared" si="25"/>
        <v>0.95673685897435889</v>
      </c>
      <c r="CC12" s="610"/>
      <c r="CD12" s="610">
        <f t="shared" si="26"/>
        <v>0.77551020408163251</v>
      </c>
      <c r="CE12" s="610">
        <f t="shared" si="27"/>
        <v>0.86842105263157898</v>
      </c>
      <c r="CF12" s="610">
        <f t="shared" si="1"/>
        <v>0.33000000000000007</v>
      </c>
      <c r="CG12" s="610">
        <f t="shared" si="2"/>
        <v>0.75499999999999989</v>
      </c>
    </row>
    <row r="13" spans="2:85" ht="20.149999999999999" customHeight="1" x14ac:dyDescent="0.2">
      <c r="B13" s="31" t="s">
        <v>643</v>
      </c>
      <c r="C13" s="40" t="s">
        <v>634</v>
      </c>
      <c r="D13" s="33">
        <v>26.3</v>
      </c>
      <c r="E13" s="623">
        <f t="shared" si="28"/>
        <v>4.0500000000000001E-2</v>
      </c>
      <c r="F13" s="35">
        <v>0.17</v>
      </c>
      <c r="G13" s="35">
        <v>9.5</v>
      </c>
      <c r="H13" s="36">
        <v>0.23</v>
      </c>
      <c r="I13" s="35">
        <v>3.3</v>
      </c>
      <c r="J13" s="624">
        <f>0.5*0.12</f>
        <v>0.06</v>
      </c>
      <c r="K13" s="35">
        <v>2.7E-2</v>
      </c>
      <c r="L13" s="32">
        <v>0.05</v>
      </c>
      <c r="M13" s="34">
        <v>240</v>
      </c>
      <c r="N13" s="624">
        <f t="shared" si="29"/>
        <v>21.5</v>
      </c>
      <c r="O13" s="35" t="s">
        <v>232</v>
      </c>
      <c r="P13" s="35">
        <v>96</v>
      </c>
      <c r="Q13" s="35">
        <v>140</v>
      </c>
      <c r="R13" s="624">
        <f t="shared" si="30"/>
        <v>0.13</v>
      </c>
      <c r="S13" s="35">
        <v>4.7</v>
      </c>
      <c r="T13" s="35">
        <v>15</v>
      </c>
      <c r="U13" s="35">
        <v>1.3</v>
      </c>
      <c r="V13" s="35">
        <v>8.8000000000000007</v>
      </c>
      <c r="W13" s="35">
        <v>210</v>
      </c>
      <c r="X13" s="624">
        <f t="shared" si="31"/>
        <v>0.215</v>
      </c>
      <c r="Y13" s="35">
        <v>4.4000000000000004</v>
      </c>
      <c r="Z13" s="35">
        <v>52</v>
      </c>
      <c r="AA13" s="35">
        <v>38</v>
      </c>
      <c r="AB13" s="35">
        <v>1.2</v>
      </c>
      <c r="AC13" s="35">
        <v>1.7</v>
      </c>
      <c r="AD13" s="624">
        <f t="shared" si="32"/>
        <v>0.38500000000000001</v>
      </c>
      <c r="AE13" s="35">
        <v>0.57999999999999996</v>
      </c>
      <c r="AF13" s="35">
        <v>1.4</v>
      </c>
      <c r="AG13" s="624">
        <f t="shared" si="33"/>
        <v>0.255</v>
      </c>
      <c r="AH13" s="35">
        <v>5.8</v>
      </c>
      <c r="AI13" s="624">
        <f t="shared" si="34"/>
        <v>0.255</v>
      </c>
      <c r="AJ13" s="624">
        <f t="shared" si="35"/>
        <v>0.22</v>
      </c>
      <c r="AK13" s="624">
        <f t="shared" si="36"/>
        <v>0.16500000000000001</v>
      </c>
      <c r="AL13" s="628">
        <f t="shared" si="37"/>
        <v>0.24</v>
      </c>
      <c r="AM13" s="628">
        <f>0.5*0.14</f>
        <v>7.0000000000000007E-2</v>
      </c>
      <c r="AN13" s="628">
        <f t="shared" si="38"/>
        <v>0.02</v>
      </c>
      <c r="AO13" s="628">
        <f t="shared" si="39"/>
        <v>0.185</v>
      </c>
      <c r="AP13" s="35">
        <v>7.3</v>
      </c>
      <c r="AQ13" s="32"/>
      <c r="AR13" s="34">
        <v>0.16</v>
      </c>
      <c r="AS13" s="36">
        <v>1.6</v>
      </c>
      <c r="AT13" s="36">
        <v>0.72</v>
      </c>
      <c r="AU13" s="36">
        <v>0.48</v>
      </c>
      <c r="AV13" s="36">
        <v>1.1000000000000001</v>
      </c>
      <c r="AW13" s="35">
        <v>1.6</v>
      </c>
      <c r="AX13" s="33">
        <v>1.2</v>
      </c>
      <c r="AY13" s="33">
        <v>0.1</v>
      </c>
      <c r="AZ13" s="33">
        <v>4.0999999999999996</v>
      </c>
      <c r="BA13" s="33">
        <v>1.8</v>
      </c>
      <c r="BB13" s="32">
        <v>4.8</v>
      </c>
      <c r="BC13" s="619">
        <f t="shared" si="3"/>
        <v>0.9902439024390246</v>
      </c>
      <c r="BD13" s="610">
        <f t="shared" si="4"/>
        <v>0.99999999999999989</v>
      </c>
      <c r="BF13" s="610">
        <f t="shared" si="5"/>
        <v>1.1408450704225353E-3</v>
      </c>
      <c r="BG13" s="610">
        <f t="shared" si="6"/>
        <v>2.7419354838709681E-3</v>
      </c>
      <c r="BH13" s="610">
        <f t="shared" si="7"/>
        <v>0.19791666666666666</v>
      </c>
      <c r="BI13" s="610">
        <f t="shared" si="8"/>
        <v>0.01</v>
      </c>
      <c r="BJ13" s="610">
        <f t="shared" si="9"/>
        <v>0.18333333333333332</v>
      </c>
      <c r="BK13" s="610">
        <f t="shared" si="10"/>
        <v>1.5384615384615385E-3</v>
      </c>
      <c r="BL13" s="610">
        <f t="shared" si="11"/>
        <v>2.2222222222222222E-3</v>
      </c>
      <c r="BM13" s="610">
        <f t="shared" si="12"/>
        <v>2.5000000000000001E-3</v>
      </c>
      <c r="BN13" s="563">
        <f t="shared" si="13"/>
        <v>201.79944722096016</v>
      </c>
      <c r="BO13" s="563">
        <f t="shared" si="14"/>
        <v>199.59401709401709</v>
      </c>
      <c r="BP13" s="611">
        <f t="shared" si="15"/>
        <v>1.0110495803383936</v>
      </c>
      <c r="BR13" s="564">
        <f t="shared" si="16"/>
        <v>13.0625</v>
      </c>
      <c r="BS13" s="564">
        <f t="shared" si="17"/>
        <v>0.21930000000000002</v>
      </c>
      <c r="BT13" s="564">
        <f t="shared" si="18"/>
        <v>0.57500000000000007</v>
      </c>
      <c r="BU13" s="564">
        <f t="shared" si="19"/>
        <v>6.56</v>
      </c>
      <c r="BV13" s="564">
        <f t="shared" si="20"/>
        <v>1.8</v>
      </c>
      <c r="BW13" s="564">
        <f t="shared" si="21"/>
        <v>0.19758500000000001</v>
      </c>
      <c r="BX13" s="564">
        <f t="shared" si="0"/>
        <v>0.19600000000000001</v>
      </c>
      <c r="BY13" s="564">
        <f t="shared" si="22"/>
        <v>0.28979999999999995</v>
      </c>
      <c r="BZ13" s="564">
        <f t="shared" si="23"/>
        <v>7.8490000000000001E-3</v>
      </c>
      <c r="CA13" s="564">
        <f t="shared" si="24"/>
        <v>22.908034000000001</v>
      </c>
      <c r="CB13" s="611">
        <f t="shared" si="25"/>
        <v>0.87102790874524716</v>
      </c>
      <c r="CC13" s="610"/>
      <c r="CD13" s="610">
        <f t="shared" si="26"/>
        <v>0.69491525423728817</v>
      </c>
      <c r="CE13" s="610">
        <f t="shared" si="27"/>
        <v>1.1707317073170733</v>
      </c>
      <c r="CF13" s="610">
        <f t="shared" ref="CF13:CF20" si="40">IF(AW13-AV13&gt;0,AW13-AV13,0)</f>
        <v>0.5</v>
      </c>
      <c r="CG13" s="610">
        <f t="shared" ref="CG13:CG20" si="41">IF(AW13-AV13&gt;0,AX13+AY13,AW13+AX13+AY13-AV13)</f>
        <v>1.3</v>
      </c>
    </row>
    <row r="14" spans="2:85" ht="20.149999999999999" customHeight="1" x14ac:dyDescent="0.2">
      <c r="B14" s="31" t="s">
        <v>643</v>
      </c>
      <c r="C14" s="32" t="s">
        <v>635</v>
      </c>
      <c r="D14" s="33">
        <v>22.5</v>
      </c>
      <c r="E14" s="623">
        <f t="shared" si="28"/>
        <v>4.0500000000000001E-2</v>
      </c>
      <c r="F14" s="35">
        <v>0.15</v>
      </c>
      <c r="G14" s="35">
        <v>9.3000000000000007</v>
      </c>
      <c r="H14" s="36">
        <v>0.13</v>
      </c>
      <c r="I14" s="35">
        <v>3.1</v>
      </c>
      <c r="J14" s="624">
        <f>0.5*0.12</f>
        <v>0.06</v>
      </c>
      <c r="K14" s="35">
        <v>1.7000000000000001E-2</v>
      </c>
      <c r="L14" s="32">
        <v>4.2000000000000003E-2</v>
      </c>
      <c r="M14" s="34">
        <v>180</v>
      </c>
      <c r="N14" s="624">
        <f t="shared" si="29"/>
        <v>21.5</v>
      </c>
      <c r="O14" s="35" t="s">
        <v>232</v>
      </c>
      <c r="P14" s="35">
        <v>77</v>
      </c>
      <c r="Q14" s="35">
        <v>91</v>
      </c>
      <c r="R14" s="624">
        <f t="shared" si="30"/>
        <v>0.13</v>
      </c>
      <c r="S14" s="35">
        <v>12</v>
      </c>
      <c r="T14" s="35">
        <v>12</v>
      </c>
      <c r="U14" s="35">
        <v>1.6</v>
      </c>
      <c r="V14" s="35">
        <v>7.1</v>
      </c>
      <c r="W14" s="35">
        <v>190</v>
      </c>
      <c r="X14" s="624">
        <f t="shared" si="31"/>
        <v>0.215</v>
      </c>
      <c r="Y14" s="35">
        <v>3.9</v>
      </c>
      <c r="Z14" s="35">
        <v>22</v>
      </c>
      <c r="AA14" s="35">
        <v>26</v>
      </c>
      <c r="AB14" s="35">
        <v>0.83</v>
      </c>
      <c r="AC14" s="35">
        <v>1.2</v>
      </c>
      <c r="AD14" s="624">
        <f t="shared" si="32"/>
        <v>0.38500000000000001</v>
      </c>
      <c r="AE14" s="35">
        <v>0.45</v>
      </c>
      <c r="AF14" s="35">
        <v>1.1000000000000001</v>
      </c>
      <c r="AG14" s="624">
        <f t="shared" si="33"/>
        <v>0.255</v>
      </c>
      <c r="AH14" s="35">
        <v>4.5999999999999996</v>
      </c>
      <c r="AI14" s="624">
        <f t="shared" si="34"/>
        <v>0.255</v>
      </c>
      <c r="AJ14" s="624">
        <f t="shared" si="35"/>
        <v>0.22</v>
      </c>
      <c r="AK14" s="624">
        <f t="shared" si="36"/>
        <v>0.16500000000000001</v>
      </c>
      <c r="AL14" s="628">
        <f t="shared" si="37"/>
        <v>0.24</v>
      </c>
      <c r="AM14" s="628">
        <f>0.5*0.14</f>
        <v>7.0000000000000007E-2</v>
      </c>
      <c r="AN14" s="628">
        <f t="shared" si="38"/>
        <v>0.02</v>
      </c>
      <c r="AO14" s="628">
        <f t="shared" si="39"/>
        <v>0.185</v>
      </c>
      <c r="AP14" s="35">
        <v>4.3</v>
      </c>
      <c r="AQ14" s="32"/>
      <c r="AR14" s="623">
        <f>0.5*0.057</f>
        <v>2.8500000000000001E-2</v>
      </c>
      <c r="AS14" s="36">
        <v>1.1000000000000001</v>
      </c>
      <c r="AT14" s="36">
        <v>0.38</v>
      </c>
      <c r="AU14" s="36">
        <v>0.27</v>
      </c>
      <c r="AV14" s="36">
        <v>0.76</v>
      </c>
      <c r="AW14" s="35">
        <v>1</v>
      </c>
      <c r="AX14" s="33">
        <v>0.87</v>
      </c>
      <c r="AY14" s="33">
        <v>7.1999999999999995E-2</v>
      </c>
      <c r="AZ14" s="33">
        <v>2.5</v>
      </c>
      <c r="BA14" s="33">
        <v>1.2</v>
      </c>
      <c r="BB14" s="32">
        <v>2.7</v>
      </c>
      <c r="BC14" s="619">
        <f t="shared" si="3"/>
        <v>1.0154000000000001</v>
      </c>
      <c r="BD14" s="610">
        <f t="shared" si="4"/>
        <v>0.98500000000000021</v>
      </c>
      <c r="BF14" s="610">
        <f t="shared" si="5"/>
        <v>1.1408450704225353E-3</v>
      </c>
      <c r="BG14" s="610">
        <f t="shared" si="6"/>
        <v>2.4193548387096775E-3</v>
      </c>
      <c r="BH14" s="610">
        <f t="shared" si="7"/>
        <v>0.19375000000000001</v>
      </c>
      <c r="BI14" s="610">
        <f t="shared" si="8"/>
        <v>5.6521739130434784E-3</v>
      </c>
      <c r="BJ14" s="610">
        <f t="shared" si="9"/>
        <v>0.17222222222222222</v>
      </c>
      <c r="BK14" s="610">
        <f t="shared" si="10"/>
        <v>1.5384615384615385E-3</v>
      </c>
      <c r="BL14" s="610">
        <f t="shared" si="11"/>
        <v>1.3991769547325103E-3</v>
      </c>
      <c r="BM14" s="610">
        <f t="shared" si="12"/>
        <v>2.1000000000000003E-3</v>
      </c>
      <c r="BN14" s="563">
        <f t="shared" si="13"/>
        <v>197.31019990913219</v>
      </c>
      <c r="BO14" s="563">
        <f t="shared" si="14"/>
        <v>182.91203462845976</v>
      </c>
      <c r="BP14" s="611">
        <f t="shared" si="15"/>
        <v>1.0787163365708479</v>
      </c>
      <c r="BR14" s="564">
        <f t="shared" si="16"/>
        <v>12.787500000000001</v>
      </c>
      <c r="BS14" s="564">
        <f t="shared" si="17"/>
        <v>0.19350000000000001</v>
      </c>
      <c r="BT14" s="564">
        <f t="shared" si="18"/>
        <v>0.32500000000000001</v>
      </c>
      <c r="BU14" s="564">
        <f t="shared" si="19"/>
        <v>4</v>
      </c>
      <c r="BV14" s="564">
        <f t="shared" si="20"/>
        <v>1.2</v>
      </c>
      <c r="BW14" s="564">
        <f t="shared" si="21"/>
        <v>0.19758500000000001</v>
      </c>
      <c r="BX14" s="564">
        <f t="shared" si="0"/>
        <v>0.12739999999999999</v>
      </c>
      <c r="BY14" s="564">
        <f t="shared" si="22"/>
        <v>0.26219999999999999</v>
      </c>
      <c r="BZ14" s="564">
        <f t="shared" si="23"/>
        <v>2.0039999999999999E-2</v>
      </c>
      <c r="CA14" s="564">
        <f t="shared" si="24"/>
        <v>19.113225000000003</v>
      </c>
      <c r="CB14" s="611">
        <f t="shared" si="25"/>
        <v>0.84947666666666677</v>
      </c>
      <c r="CC14" s="610"/>
      <c r="CD14" s="610">
        <f t="shared" si="26"/>
        <v>0.67567567567567566</v>
      </c>
      <c r="CE14" s="610">
        <f t="shared" si="27"/>
        <v>1.08</v>
      </c>
      <c r="CF14" s="610">
        <f t="shared" si="40"/>
        <v>0.24</v>
      </c>
      <c r="CG14" s="610">
        <f t="shared" si="41"/>
        <v>0.94199999999999995</v>
      </c>
    </row>
    <row r="15" spans="2:85" ht="20.149999999999999" customHeight="1" x14ac:dyDescent="0.2">
      <c r="B15" s="31" t="s">
        <v>643</v>
      </c>
      <c r="C15" s="32" t="s">
        <v>636</v>
      </c>
      <c r="D15" s="33">
        <v>23.5</v>
      </c>
      <c r="E15" s="623">
        <f t="shared" si="28"/>
        <v>4.0500000000000001E-2</v>
      </c>
      <c r="F15" s="35">
        <v>0.15</v>
      </c>
      <c r="G15" s="35">
        <v>10</v>
      </c>
      <c r="H15" s="36">
        <v>0.12</v>
      </c>
      <c r="I15" s="35">
        <v>3.5</v>
      </c>
      <c r="J15" s="624">
        <f>0.5*0.12</f>
        <v>0.06</v>
      </c>
      <c r="K15" s="35">
        <v>1.4999999999999999E-2</v>
      </c>
      <c r="L15" s="32">
        <v>0.04</v>
      </c>
      <c r="M15" s="34">
        <v>130</v>
      </c>
      <c r="N15" s="624">
        <f t="shared" si="29"/>
        <v>21.5</v>
      </c>
      <c r="O15" s="35" t="s">
        <v>232</v>
      </c>
      <c r="P15" s="35">
        <v>73</v>
      </c>
      <c r="Q15" s="35">
        <v>68</v>
      </c>
      <c r="R15" s="624">
        <f t="shared" si="30"/>
        <v>0.13</v>
      </c>
      <c r="S15" s="35">
        <v>7.6</v>
      </c>
      <c r="T15" s="35">
        <v>13</v>
      </c>
      <c r="U15" s="35">
        <v>1.4</v>
      </c>
      <c r="V15" s="35">
        <v>6.3</v>
      </c>
      <c r="W15" s="35">
        <v>130</v>
      </c>
      <c r="X15" s="624">
        <f t="shared" si="31"/>
        <v>0.215</v>
      </c>
      <c r="Y15" s="35">
        <v>3.7</v>
      </c>
      <c r="Z15" s="35">
        <v>32</v>
      </c>
      <c r="AA15" s="35">
        <v>24</v>
      </c>
      <c r="AB15" s="35">
        <v>0.91</v>
      </c>
      <c r="AC15" s="35">
        <v>1.9</v>
      </c>
      <c r="AD15" s="624">
        <f t="shared" si="32"/>
        <v>0.38500000000000001</v>
      </c>
      <c r="AE15" s="35">
        <v>0.56999999999999995</v>
      </c>
      <c r="AF15" s="35">
        <v>1</v>
      </c>
      <c r="AG15" s="624">
        <f t="shared" si="33"/>
        <v>0.255</v>
      </c>
      <c r="AH15" s="35">
        <v>4.2</v>
      </c>
      <c r="AI15" s="624">
        <f t="shared" si="34"/>
        <v>0.255</v>
      </c>
      <c r="AJ15" s="624">
        <f t="shared" si="35"/>
        <v>0.22</v>
      </c>
      <c r="AK15" s="624">
        <f t="shared" si="36"/>
        <v>0.16500000000000001</v>
      </c>
      <c r="AL15" s="628">
        <f t="shared" si="37"/>
        <v>0.24</v>
      </c>
      <c r="AM15" s="628">
        <f>0.5*0.14</f>
        <v>7.0000000000000007E-2</v>
      </c>
      <c r="AN15" s="628">
        <f t="shared" si="38"/>
        <v>0.02</v>
      </c>
      <c r="AO15" s="628">
        <f t="shared" si="39"/>
        <v>0.185</v>
      </c>
      <c r="AP15" s="35">
        <v>4.5999999999999996</v>
      </c>
      <c r="AQ15" s="32"/>
      <c r="AR15" s="34">
        <v>0.16</v>
      </c>
      <c r="AS15" s="36">
        <v>1.1000000000000001</v>
      </c>
      <c r="AT15" s="36">
        <v>0.43</v>
      </c>
      <c r="AU15" s="36">
        <v>0.4</v>
      </c>
      <c r="AV15" s="36">
        <v>0.91</v>
      </c>
      <c r="AW15" s="35">
        <v>1.1000000000000001</v>
      </c>
      <c r="AX15" s="33">
        <v>1.1000000000000001</v>
      </c>
      <c r="AY15" s="33">
        <v>0.11</v>
      </c>
      <c r="AZ15" s="33">
        <v>3</v>
      </c>
      <c r="BA15" s="33">
        <v>1.4</v>
      </c>
      <c r="BB15" s="32">
        <v>2.8</v>
      </c>
      <c r="BC15" s="619">
        <f t="shared" si="3"/>
        <v>1</v>
      </c>
      <c r="BD15" s="610">
        <f t="shared" si="4"/>
        <v>1</v>
      </c>
      <c r="BF15" s="610">
        <f t="shared" si="5"/>
        <v>1.1408450704225353E-3</v>
      </c>
      <c r="BG15" s="610">
        <f t="shared" si="6"/>
        <v>2.4193548387096775E-3</v>
      </c>
      <c r="BH15" s="610">
        <f t="shared" si="7"/>
        <v>0.20833333333333334</v>
      </c>
      <c r="BI15" s="610">
        <f t="shared" si="8"/>
        <v>5.2173913043478256E-3</v>
      </c>
      <c r="BJ15" s="610">
        <f t="shared" si="9"/>
        <v>0.19444444444444445</v>
      </c>
      <c r="BK15" s="610">
        <f t="shared" si="10"/>
        <v>1.5384615384615385E-3</v>
      </c>
      <c r="BL15" s="610">
        <f t="shared" si="11"/>
        <v>1.2345679012345679E-3</v>
      </c>
      <c r="BM15" s="610">
        <f t="shared" si="12"/>
        <v>2E-3</v>
      </c>
      <c r="BN15" s="563">
        <f t="shared" si="13"/>
        <v>211.89353324246554</v>
      </c>
      <c r="BO15" s="563">
        <f t="shared" si="14"/>
        <v>204.43486518848837</v>
      </c>
      <c r="BP15" s="611">
        <f t="shared" si="15"/>
        <v>1.0364843249565101</v>
      </c>
      <c r="BR15" s="564">
        <f t="shared" si="16"/>
        <v>13.75</v>
      </c>
      <c r="BS15" s="564">
        <f t="shared" si="17"/>
        <v>0.19350000000000001</v>
      </c>
      <c r="BT15" s="564">
        <f t="shared" si="18"/>
        <v>0.3</v>
      </c>
      <c r="BU15" s="564">
        <f t="shared" si="19"/>
        <v>4.8000000000000007</v>
      </c>
      <c r="BV15" s="564">
        <f t="shared" si="20"/>
        <v>1.4</v>
      </c>
      <c r="BW15" s="564">
        <f t="shared" si="21"/>
        <v>0.19758500000000001</v>
      </c>
      <c r="BX15" s="564">
        <f t="shared" si="0"/>
        <v>9.5200000000000007E-2</v>
      </c>
      <c r="BY15" s="564">
        <f t="shared" si="22"/>
        <v>0.1794</v>
      </c>
      <c r="BZ15" s="564">
        <f t="shared" si="23"/>
        <v>1.2692E-2</v>
      </c>
      <c r="CA15" s="564">
        <f t="shared" si="24"/>
        <v>20.928377000000001</v>
      </c>
      <c r="CB15" s="611">
        <f t="shared" si="25"/>
        <v>0.89056923404255328</v>
      </c>
      <c r="CC15" s="610"/>
      <c r="CD15" s="610">
        <f t="shared" si="26"/>
        <v>0.68181818181818177</v>
      </c>
      <c r="CE15" s="610">
        <f t="shared" si="27"/>
        <v>0.93333333333333324</v>
      </c>
      <c r="CF15" s="610">
        <f t="shared" si="40"/>
        <v>0.19000000000000006</v>
      </c>
      <c r="CG15" s="610">
        <f t="shared" si="41"/>
        <v>1.2100000000000002</v>
      </c>
    </row>
    <row r="16" spans="2:85" ht="20.149999999999999" customHeight="1" x14ac:dyDescent="0.2">
      <c r="B16" s="31" t="s">
        <v>643</v>
      </c>
      <c r="C16" s="32" t="s">
        <v>637</v>
      </c>
      <c r="D16" s="33">
        <v>30</v>
      </c>
      <c r="E16" s="623">
        <f t="shared" si="28"/>
        <v>4.0500000000000001E-2</v>
      </c>
      <c r="F16" s="35">
        <v>0.11</v>
      </c>
      <c r="G16" s="35">
        <v>16</v>
      </c>
      <c r="H16" s="36">
        <v>7.3999999999999996E-2</v>
      </c>
      <c r="I16" s="35">
        <v>5.4</v>
      </c>
      <c r="J16" s="624">
        <f>0.5*0.12</f>
        <v>0.06</v>
      </c>
      <c r="K16" s="35">
        <v>1.0999999999999999E-2</v>
      </c>
      <c r="L16" s="32">
        <v>3.9E-2</v>
      </c>
      <c r="M16" s="34">
        <v>100</v>
      </c>
      <c r="N16" s="624">
        <f t="shared" si="29"/>
        <v>21.5</v>
      </c>
      <c r="O16" s="35" t="s">
        <v>232</v>
      </c>
      <c r="P16" s="35">
        <v>100</v>
      </c>
      <c r="Q16" s="35">
        <v>77</v>
      </c>
      <c r="R16" s="624">
        <f t="shared" si="30"/>
        <v>0.13</v>
      </c>
      <c r="S16" s="35">
        <v>9.3000000000000007</v>
      </c>
      <c r="T16" s="35">
        <v>21</v>
      </c>
      <c r="U16" s="35">
        <v>1</v>
      </c>
      <c r="V16" s="35">
        <v>6.3</v>
      </c>
      <c r="W16" s="35">
        <v>100</v>
      </c>
      <c r="X16" s="624">
        <f t="shared" si="31"/>
        <v>0.215</v>
      </c>
      <c r="Y16" s="35">
        <v>6</v>
      </c>
      <c r="Z16" s="35">
        <v>31</v>
      </c>
      <c r="AA16" s="35">
        <v>32</v>
      </c>
      <c r="AB16" s="35">
        <v>1.9</v>
      </c>
      <c r="AC16" s="35">
        <v>1.7</v>
      </c>
      <c r="AD16" s="624">
        <f t="shared" si="32"/>
        <v>0.38500000000000001</v>
      </c>
      <c r="AE16" s="35">
        <v>0.63</v>
      </c>
      <c r="AF16" s="35">
        <v>1.2</v>
      </c>
      <c r="AG16" s="624">
        <f t="shared" si="33"/>
        <v>0.255</v>
      </c>
      <c r="AH16" s="35">
        <v>4.2</v>
      </c>
      <c r="AI16" s="624">
        <f t="shared" si="34"/>
        <v>0.255</v>
      </c>
      <c r="AJ16" s="624">
        <f t="shared" si="35"/>
        <v>0.22</v>
      </c>
      <c r="AK16" s="624">
        <f t="shared" si="36"/>
        <v>0.16500000000000001</v>
      </c>
      <c r="AL16" s="628">
        <f t="shared" si="37"/>
        <v>0.24</v>
      </c>
      <c r="AM16" s="33">
        <v>0.18</v>
      </c>
      <c r="AN16" s="628">
        <f t="shared" si="38"/>
        <v>0.02</v>
      </c>
      <c r="AO16" s="628">
        <f t="shared" si="39"/>
        <v>0.185</v>
      </c>
      <c r="AP16" s="35">
        <v>7.8</v>
      </c>
      <c r="AQ16" s="32"/>
      <c r="AR16" s="34">
        <v>0.2</v>
      </c>
      <c r="AS16" s="36">
        <v>1.1000000000000001</v>
      </c>
      <c r="AT16" s="36">
        <v>0.35</v>
      </c>
      <c r="AU16" s="36">
        <v>0.34</v>
      </c>
      <c r="AV16" s="36">
        <v>0.73</v>
      </c>
      <c r="AW16" s="35">
        <v>1</v>
      </c>
      <c r="AX16" s="33">
        <v>1</v>
      </c>
      <c r="AY16" s="33">
        <v>0.14000000000000001</v>
      </c>
      <c r="AZ16" s="33">
        <v>2.7</v>
      </c>
      <c r="BA16" s="33">
        <v>1.4</v>
      </c>
      <c r="BB16" s="32">
        <v>2.8</v>
      </c>
      <c r="BC16" s="619">
        <f t="shared" si="3"/>
        <v>1.0074074074074073</v>
      </c>
      <c r="BD16" s="610">
        <f t="shared" si="4"/>
        <v>1.0071428571428573</v>
      </c>
      <c r="BF16" s="610">
        <f t="shared" si="5"/>
        <v>1.1408450704225353E-3</v>
      </c>
      <c r="BG16" s="610">
        <f t="shared" si="6"/>
        <v>1.7741935483870969E-3</v>
      </c>
      <c r="BH16" s="610">
        <f t="shared" si="7"/>
        <v>0.33333333333333331</v>
      </c>
      <c r="BI16" s="610">
        <f t="shared" si="8"/>
        <v>3.217391304347826E-3</v>
      </c>
      <c r="BJ16" s="610">
        <f t="shared" si="9"/>
        <v>0.30000000000000004</v>
      </c>
      <c r="BK16" s="610">
        <f t="shared" si="10"/>
        <v>1.5384615384615385E-3</v>
      </c>
      <c r="BL16" s="610">
        <f t="shared" si="11"/>
        <v>9.0534979423868302E-4</v>
      </c>
      <c r="BM16" s="610">
        <f t="shared" si="12"/>
        <v>1.9499999999999999E-3</v>
      </c>
      <c r="BN16" s="563">
        <f t="shared" si="13"/>
        <v>336.24837195214297</v>
      </c>
      <c r="BO16" s="563">
        <f t="shared" si="14"/>
        <v>307.61120263704811</v>
      </c>
      <c r="BP16" s="611">
        <f t="shared" si="15"/>
        <v>1.0930953394076612</v>
      </c>
      <c r="BR16" s="564">
        <f t="shared" si="16"/>
        <v>22</v>
      </c>
      <c r="BS16" s="564">
        <f t="shared" si="17"/>
        <v>0.1419</v>
      </c>
      <c r="BT16" s="564">
        <f t="shared" si="18"/>
        <v>0.185</v>
      </c>
      <c r="BU16" s="564">
        <f t="shared" si="19"/>
        <v>4.32</v>
      </c>
      <c r="BV16" s="564">
        <f t="shared" si="20"/>
        <v>1.4</v>
      </c>
      <c r="BW16" s="564">
        <f t="shared" si="21"/>
        <v>0.19758500000000001</v>
      </c>
      <c r="BX16" s="564">
        <f t="shared" si="0"/>
        <v>0.10779999999999999</v>
      </c>
      <c r="BY16" s="564">
        <f t="shared" si="22"/>
        <v>0.13799999999999998</v>
      </c>
      <c r="BZ16" s="564">
        <f t="shared" si="23"/>
        <v>1.5531000000000001E-2</v>
      </c>
      <c r="CA16" s="564">
        <f t="shared" si="24"/>
        <v>28.505815999999999</v>
      </c>
      <c r="CB16" s="611">
        <f t="shared" si="25"/>
        <v>0.95019386666666661</v>
      </c>
      <c r="CC16" s="610"/>
      <c r="CD16" s="610">
        <f t="shared" si="26"/>
        <v>0.6585365853658538</v>
      </c>
      <c r="CE16" s="610">
        <f t="shared" si="27"/>
        <v>1.037037037037037</v>
      </c>
      <c r="CF16" s="610">
        <f t="shared" si="40"/>
        <v>0.27</v>
      </c>
      <c r="CG16" s="610">
        <f t="shared" si="41"/>
        <v>1.1400000000000001</v>
      </c>
    </row>
    <row r="17" spans="2:85" ht="20.149999999999999" customHeight="1" x14ac:dyDescent="0.2">
      <c r="B17" s="31" t="s">
        <v>643</v>
      </c>
      <c r="C17" s="32" t="s">
        <v>638</v>
      </c>
      <c r="D17" s="33">
        <v>29.8</v>
      </c>
      <c r="E17" s="623">
        <f t="shared" si="28"/>
        <v>4.0500000000000001E-2</v>
      </c>
      <c r="F17" s="35">
        <v>0.11</v>
      </c>
      <c r="G17" s="35">
        <v>13</v>
      </c>
      <c r="H17" s="646">
        <f>0.5*0.069</f>
        <v>3.4500000000000003E-2</v>
      </c>
      <c r="I17" s="35">
        <v>4.3</v>
      </c>
      <c r="J17" s="35">
        <v>0.28999999999999998</v>
      </c>
      <c r="K17" s="35">
        <v>2.3E-2</v>
      </c>
      <c r="L17" s="32">
        <v>4.7E-2</v>
      </c>
      <c r="M17" s="34">
        <v>57</v>
      </c>
      <c r="N17" s="624">
        <f t="shared" si="29"/>
        <v>21.5</v>
      </c>
      <c r="O17" s="35" t="s">
        <v>232</v>
      </c>
      <c r="P17" s="35">
        <v>250</v>
      </c>
      <c r="Q17" s="35">
        <v>88</v>
      </c>
      <c r="R17" s="624">
        <f t="shared" si="30"/>
        <v>0.13</v>
      </c>
      <c r="S17" s="35">
        <v>4.7</v>
      </c>
      <c r="T17" s="35">
        <v>12</v>
      </c>
      <c r="U17" s="35">
        <v>1.1000000000000001</v>
      </c>
      <c r="V17" s="35">
        <v>6</v>
      </c>
      <c r="W17" s="35">
        <v>140</v>
      </c>
      <c r="X17" s="624">
        <f t="shared" si="31"/>
        <v>0.215</v>
      </c>
      <c r="Y17" s="35">
        <v>2.9</v>
      </c>
      <c r="Z17" s="35">
        <v>290</v>
      </c>
      <c r="AA17" s="35">
        <v>34</v>
      </c>
      <c r="AB17" s="35">
        <v>1.6</v>
      </c>
      <c r="AC17" s="35">
        <v>1.5</v>
      </c>
      <c r="AD17" s="624">
        <f t="shared" si="32"/>
        <v>0.38500000000000001</v>
      </c>
      <c r="AE17" s="624">
        <f>0.5*0.34</f>
        <v>0.17</v>
      </c>
      <c r="AF17" s="35">
        <v>3</v>
      </c>
      <c r="AG17" s="624">
        <f t="shared" si="33"/>
        <v>0.255</v>
      </c>
      <c r="AH17" s="35">
        <v>8.3000000000000007</v>
      </c>
      <c r="AI17" s="624">
        <f t="shared" si="34"/>
        <v>0.255</v>
      </c>
      <c r="AJ17" s="624">
        <f t="shared" si="35"/>
        <v>0.22</v>
      </c>
      <c r="AK17" s="624">
        <f t="shared" si="36"/>
        <v>0.16500000000000001</v>
      </c>
      <c r="AL17" s="628">
        <f t="shared" si="37"/>
        <v>0.24</v>
      </c>
      <c r="AM17" s="628">
        <f>0.5*0.14</f>
        <v>7.0000000000000007E-2</v>
      </c>
      <c r="AN17" s="628">
        <f t="shared" si="38"/>
        <v>0.02</v>
      </c>
      <c r="AO17" s="628">
        <f t="shared" si="39"/>
        <v>0.185</v>
      </c>
      <c r="AP17" s="35">
        <v>7.2</v>
      </c>
      <c r="AQ17" s="32"/>
      <c r="AR17" s="34">
        <v>0.31</v>
      </c>
      <c r="AS17" s="36">
        <v>1.4</v>
      </c>
      <c r="AT17" s="36">
        <v>0.64</v>
      </c>
      <c r="AU17" s="36">
        <v>0.43</v>
      </c>
      <c r="AV17" s="36">
        <v>1.1000000000000001</v>
      </c>
      <c r="AW17" s="35">
        <v>1.4</v>
      </c>
      <c r="AX17" s="33">
        <v>0.93</v>
      </c>
      <c r="AY17" s="33">
        <v>8.1000000000000003E-2</v>
      </c>
      <c r="AZ17" s="33">
        <v>3.9</v>
      </c>
      <c r="BA17" s="33">
        <v>1.3</v>
      </c>
      <c r="BB17" s="32">
        <v>3.9</v>
      </c>
      <c r="BC17" s="619">
        <f t="shared" si="3"/>
        <v>0.994871794871795</v>
      </c>
      <c r="BD17" s="610">
        <f t="shared" si="4"/>
        <v>1.0084615384615383</v>
      </c>
      <c r="BF17" s="610">
        <f t="shared" si="5"/>
        <v>1.1408450704225353E-3</v>
      </c>
      <c r="BG17" s="610">
        <f t="shared" si="6"/>
        <v>1.7741935483870969E-3</v>
      </c>
      <c r="BH17" s="610">
        <f t="shared" si="7"/>
        <v>0.27083333333333331</v>
      </c>
      <c r="BI17" s="610">
        <f t="shared" si="8"/>
        <v>1.5E-3</v>
      </c>
      <c r="BJ17" s="610">
        <f t="shared" si="9"/>
        <v>0.23888888888888887</v>
      </c>
      <c r="BK17" s="610">
        <f t="shared" si="10"/>
        <v>7.4358974358974357E-3</v>
      </c>
      <c r="BL17" s="610">
        <f t="shared" si="11"/>
        <v>1.8930041152263374E-3</v>
      </c>
      <c r="BM17" s="610">
        <f t="shared" si="12"/>
        <v>2.3500000000000001E-3</v>
      </c>
      <c r="BN17" s="563">
        <f t="shared" si="13"/>
        <v>273.74837195214297</v>
      </c>
      <c r="BO17" s="563">
        <f t="shared" si="14"/>
        <v>252.06779044001266</v>
      </c>
      <c r="BP17" s="611">
        <f t="shared" si="15"/>
        <v>1.0860109158503926</v>
      </c>
      <c r="BR17" s="564">
        <f t="shared" si="16"/>
        <v>17.875</v>
      </c>
      <c r="BS17" s="564">
        <f t="shared" si="17"/>
        <v>0.1419</v>
      </c>
      <c r="BT17" s="564">
        <f t="shared" si="18"/>
        <v>8.6250000000000007E-2</v>
      </c>
      <c r="BU17" s="564">
        <f t="shared" si="19"/>
        <v>6.24</v>
      </c>
      <c r="BV17" s="564">
        <f t="shared" si="20"/>
        <v>1.3</v>
      </c>
      <c r="BW17" s="564">
        <f t="shared" si="21"/>
        <v>0.19758500000000001</v>
      </c>
      <c r="BX17" s="564">
        <f t="shared" si="0"/>
        <v>0.12319999999999999</v>
      </c>
      <c r="BY17" s="564">
        <f t="shared" si="22"/>
        <v>0.19320000000000001</v>
      </c>
      <c r="BZ17" s="564">
        <f t="shared" si="23"/>
        <v>7.8490000000000001E-3</v>
      </c>
      <c r="CA17" s="564">
        <f t="shared" si="24"/>
        <v>26.164984000000004</v>
      </c>
      <c r="CB17" s="611">
        <f t="shared" si="25"/>
        <v>0.87801959731543633</v>
      </c>
      <c r="CC17" s="610"/>
      <c r="CD17" s="610">
        <f t="shared" si="26"/>
        <v>0.75</v>
      </c>
      <c r="CE17" s="610">
        <f t="shared" si="27"/>
        <v>1</v>
      </c>
      <c r="CF17" s="610">
        <f t="shared" si="40"/>
        <v>0.29999999999999982</v>
      </c>
      <c r="CG17" s="610">
        <f t="shared" si="41"/>
        <v>1.0110000000000001</v>
      </c>
    </row>
    <row r="18" spans="2:85" ht="20.149999999999999" customHeight="1" thickBot="1" x14ac:dyDescent="0.25">
      <c r="B18" s="39" t="s">
        <v>643</v>
      </c>
      <c r="C18" s="45" t="s">
        <v>639</v>
      </c>
      <c r="D18" s="41">
        <v>28.8</v>
      </c>
      <c r="E18" s="631">
        <f t="shared" si="28"/>
        <v>4.0500000000000001E-2</v>
      </c>
      <c r="F18" s="43">
        <v>0.1</v>
      </c>
      <c r="G18" s="43">
        <v>15</v>
      </c>
      <c r="H18" s="44">
        <v>0.12</v>
      </c>
      <c r="I18" s="43">
        <v>5</v>
      </c>
      <c r="J18" s="43">
        <v>0.18</v>
      </c>
      <c r="K18" s="43">
        <v>1.6E-2</v>
      </c>
      <c r="L18" s="45">
        <v>7.0999999999999994E-2</v>
      </c>
      <c r="M18" s="42">
        <v>80</v>
      </c>
      <c r="N18" s="626">
        <f t="shared" si="29"/>
        <v>21.5</v>
      </c>
      <c r="O18" s="43" t="s">
        <v>232</v>
      </c>
      <c r="P18" s="43">
        <v>130</v>
      </c>
      <c r="Q18" s="626">
        <f>0.5*66</f>
        <v>33</v>
      </c>
      <c r="R18" s="626">
        <f t="shared" si="30"/>
        <v>0.13</v>
      </c>
      <c r="S18" s="43">
        <v>4.5</v>
      </c>
      <c r="T18" s="43">
        <v>11</v>
      </c>
      <c r="U18" s="43">
        <v>0.74</v>
      </c>
      <c r="V18" s="43">
        <v>4.8</v>
      </c>
      <c r="W18" s="43">
        <v>63</v>
      </c>
      <c r="X18" s="626">
        <f t="shared" si="31"/>
        <v>0.215</v>
      </c>
      <c r="Y18" s="43">
        <v>2.2999999999999998</v>
      </c>
      <c r="Z18" s="43">
        <v>17</v>
      </c>
      <c r="AA18" s="43">
        <v>32</v>
      </c>
      <c r="AB18" s="43">
        <v>1.9</v>
      </c>
      <c r="AC18" s="43">
        <v>1.5</v>
      </c>
      <c r="AD18" s="626">
        <f t="shared" si="32"/>
        <v>0.38500000000000001</v>
      </c>
      <c r="AE18" s="43">
        <v>0.49</v>
      </c>
      <c r="AF18" s="43">
        <v>1.3</v>
      </c>
      <c r="AG18" s="626">
        <f t="shared" si="33"/>
        <v>0.255</v>
      </c>
      <c r="AH18" s="43">
        <v>3.8</v>
      </c>
      <c r="AI18" s="626">
        <f t="shared" si="34"/>
        <v>0.255</v>
      </c>
      <c r="AJ18" s="626">
        <f t="shared" si="35"/>
        <v>0.22</v>
      </c>
      <c r="AK18" s="626">
        <f t="shared" si="36"/>
        <v>0.16500000000000001</v>
      </c>
      <c r="AL18" s="629">
        <f t="shared" si="37"/>
        <v>0.24</v>
      </c>
      <c r="AM18" s="629">
        <f>0.5*0.14</f>
        <v>7.0000000000000007E-2</v>
      </c>
      <c r="AN18" s="629">
        <f t="shared" si="38"/>
        <v>0.02</v>
      </c>
      <c r="AO18" s="629">
        <f t="shared" si="39"/>
        <v>0.185</v>
      </c>
      <c r="AP18" s="43">
        <v>7.1</v>
      </c>
      <c r="AQ18" s="45"/>
      <c r="AR18" s="42">
        <v>0.21</v>
      </c>
      <c r="AS18" s="44">
        <v>1.1000000000000001</v>
      </c>
      <c r="AT18" s="44">
        <v>0.44</v>
      </c>
      <c r="AU18" s="44">
        <v>0.39</v>
      </c>
      <c r="AV18" s="44">
        <v>0.87</v>
      </c>
      <c r="AW18" s="43">
        <v>1.2</v>
      </c>
      <c r="AX18" s="41">
        <v>0.88</v>
      </c>
      <c r="AY18" s="41">
        <v>0.11</v>
      </c>
      <c r="AZ18" s="41">
        <v>3</v>
      </c>
      <c r="BA18" s="41">
        <v>1.3</v>
      </c>
      <c r="BB18" s="45">
        <v>2.9</v>
      </c>
      <c r="BC18" s="620">
        <f t="shared" si="3"/>
        <v>1.0033333333333334</v>
      </c>
      <c r="BD18" s="617">
        <f t="shared" si="4"/>
        <v>1.0153846153846153</v>
      </c>
      <c r="BE18" s="616"/>
      <c r="BF18" s="617">
        <f t="shared" si="5"/>
        <v>1.1408450704225353E-3</v>
      </c>
      <c r="BG18" s="617">
        <f t="shared" si="6"/>
        <v>1.6129032258064516E-3</v>
      </c>
      <c r="BH18" s="617">
        <f t="shared" si="7"/>
        <v>0.3125</v>
      </c>
      <c r="BI18" s="617">
        <f t="shared" si="8"/>
        <v>5.2173913043478256E-3</v>
      </c>
      <c r="BJ18" s="617">
        <f t="shared" si="9"/>
        <v>0.27777777777777779</v>
      </c>
      <c r="BK18" s="617">
        <f t="shared" si="10"/>
        <v>4.6153846153846149E-3</v>
      </c>
      <c r="BL18" s="617">
        <f t="shared" si="11"/>
        <v>1.316872427983539E-3</v>
      </c>
      <c r="BM18" s="617">
        <f t="shared" si="12"/>
        <v>3.5499999999999998E-3</v>
      </c>
      <c r="BN18" s="621">
        <f t="shared" si="13"/>
        <v>315.25374829622899</v>
      </c>
      <c r="BO18" s="621">
        <f t="shared" si="14"/>
        <v>292.47742612549382</v>
      </c>
      <c r="BP18" s="618">
        <f t="shared" si="15"/>
        <v>1.0778737780636871</v>
      </c>
      <c r="BQ18" s="616"/>
      <c r="BR18" s="615">
        <f t="shared" si="16"/>
        <v>20.625</v>
      </c>
      <c r="BS18" s="615">
        <f t="shared" si="17"/>
        <v>0.129</v>
      </c>
      <c r="BT18" s="615">
        <f t="shared" si="18"/>
        <v>0.3</v>
      </c>
      <c r="BU18" s="615">
        <f t="shared" si="19"/>
        <v>4.8000000000000007</v>
      </c>
      <c r="BV18" s="615">
        <f t="shared" si="20"/>
        <v>1.3</v>
      </c>
      <c r="BW18" s="615">
        <f t="shared" si="21"/>
        <v>0.19758500000000001</v>
      </c>
      <c r="BX18" s="615">
        <f t="shared" si="0"/>
        <v>4.6199999999999998E-2</v>
      </c>
      <c r="BY18" s="615">
        <f t="shared" si="22"/>
        <v>8.693999999999999E-2</v>
      </c>
      <c r="BZ18" s="615">
        <f t="shared" si="23"/>
        <v>7.5149999999999991E-3</v>
      </c>
      <c r="CA18" s="615">
        <f t="shared" si="24"/>
        <v>27.492240000000002</v>
      </c>
      <c r="CB18" s="618">
        <f t="shared" si="25"/>
        <v>0.95459166666666673</v>
      </c>
      <c r="CC18" s="617"/>
      <c r="CD18" s="617">
        <f t="shared" si="26"/>
        <v>0.69767441860465118</v>
      </c>
      <c r="CE18" s="617">
        <f t="shared" si="27"/>
        <v>0.96666666666666667</v>
      </c>
      <c r="CF18" s="617">
        <f t="shared" si="40"/>
        <v>0.32999999999999996</v>
      </c>
      <c r="CG18" s="617">
        <f t="shared" si="41"/>
        <v>0.99</v>
      </c>
    </row>
    <row r="19" spans="2:85" ht="20.149999999999999" customHeight="1" x14ac:dyDescent="0.2">
      <c r="B19" s="31" t="s">
        <v>642</v>
      </c>
      <c r="C19" s="46" t="s">
        <v>640</v>
      </c>
      <c r="D19" s="47">
        <v>28.1</v>
      </c>
      <c r="E19" s="48" t="s">
        <v>483</v>
      </c>
      <c r="F19" s="49">
        <v>0.14000000000000001</v>
      </c>
      <c r="G19" s="49">
        <v>14</v>
      </c>
      <c r="H19" s="50">
        <v>9.8000000000000004E-2</v>
      </c>
      <c r="I19" s="49">
        <v>4.5</v>
      </c>
      <c r="J19" s="49">
        <v>0.13</v>
      </c>
      <c r="K19" s="49">
        <v>1.4999999999999999E-2</v>
      </c>
      <c r="L19" s="37">
        <v>6.0999999999999999E-2</v>
      </c>
      <c r="M19" s="48">
        <v>110</v>
      </c>
      <c r="N19" s="49" t="s">
        <v>484</v>
      </c>
      <c r="O19" s="49" t="s">
        <v>232</v>
      </c>
      <c r="P19" s="49">
        <v>150</v>
      </c>
      <c r="Q19" s="49">
        <v>68</v>
      </c>
      <c r="R19" s="49" t="s">
        <v>486</v>
      </c>
      <c r="S19" s="49">
        <v>7.6</v>
      </c>
      <c r="T19" s="49">
        <v>8.4</v>
      </c>
      <c r="U19" s="49">
        <v>1.2</v>
      </c>
      <c r="V19" s="49">
        <v>8.9</v>
      </c>
      <c r="W19" s="49">
        <v>120</v>
      </c>
      <c r="X19" s="49" t="s">
        <v>487</v>
      </c>
      <c r="Y19" s="49">
        <v>5</v>
      </c>
      <c r="Z19" s="49">
        <v>8.6</v>
      </c>
      <c r="AA19" s="49">
        <v>40</v>
      </c>
      <c r="AB19" s="49">
        <v>2.5</v>
      </c>
      <c r="AC19" s="49">
        <v>2.6</v>
      </c>
      <c r="AD19" s="49" t="s">
        <v>491</v>
      </c>
      <c r="AE19" s="49">
        <v>0.39</v>
      </c>
      <c r="AF19" s="49">
        <v>1.7</v>
      </c>
      <c r="AG19" s="49" t="s">
        <v>493</v>
      </c>
      <c r="AH19" s="49">
        <v>5.7</v>
      </c>
      <c r="AI19" s="49" t="s">
        <v>493</v>
      </c>
      <c r="AJ19" s="49" t="s">
        <v>494</v>
      </c>
      <c r="AK19" s="49" t="s">
        <v>241</v>
      </c>
      <c r="AL19" s="47" t="s">
        <v>469</v>
      </c>
      <c r="AM19" s="47" t="s">
        <v>495</v>
      </c>
      <c r="AN19" s="47" t="s">
        <v>257</v>
      </c>
      <c r="AO19" s="47" t="s">
        <v>244</v>
      </c>
      <c r="AP19" s="49">
        <v>9.6</v>
      </c>
      <c r="AQ19" s="37"/>
      <c r="AR19" s="48" t="s">
        <v>496</v>
      </c>
      <c r="AS19" s="50">
        <v>1.2</v>
      </c>
      <c r="AT19" s="50">
        <v>0.37</v>
      </c>
      <c r="AU19" s="50">
        <v>0.32</v>
      </c>
      <c r="AV19" s="50">
        <v>0.92</v>
      </c>
      <c r="AW19" s="49">
        <v>1.1000000000000001</v>
      </c>
      <c r="AX19" s="47">
        <v>1.1000000000000001</v>
      </c>
      <c r="AY19" s="47">
        <v>7.8E-2</v>
      </c>
      <c r="AZ19" s="47">
        <v>2.8</v>
      </c>
      <c r="BA19" s="47">
        <v>1.4</v>
      </c>
      <c r="BB19" s="37">
        <v>3</v>
      </c>
      <c r="BC19" s="619">
        <f t="shared" si="3"/>
        <v>1.0035714285714286</v>
      </c>
      <c r="BD19" s="610">
        <f t="shared" si="4"/>
        <v>0.97000000000000008</v>
      </c>
      <c r="BF19" s="610" t="e">
        <f t="shared" si="5"/>
        <v>#VALUE!</v>
      </c>
      <c r="BG19" s="610">
        <f t="shared" si="6"/>
        <v>2.2580645161290325E-3</v>
      </c>
      <c r="BH19" s="610">
        <f t="shared" si="7"/>
        <v>0.29166666666666669</v>
      </c>
      <c r="BI19" s="610">
        <f t="shared" si="8"/>
        <v>4.2608695652173916E-3</v>
      </c>
      <c r="BJ19" s="610">
        <f t="shared" si="9"/>
        <v>0.25</v>
      </c>
      <c r="BK19" s="610">
        <f t="shared" si="10"/>
        <v>3.3333333333333335E-3</v>
      </c>
      <c r="BL19" s="610">
        <f t="shared" si="11"/>
        <v>1.2345679012345679E-3</v>
      </c>
      <c r="BM19" s="610">
        <f t="shared" si="12"/>
        <v>3.0499999999999998E-3</v>
      </c>
      <c r="BN19" s="563" t="e">
        <f t="shared" si="13"/>
        <v>#VALUE!</v>
      </c>
      <c r="BO19" s="563">
        <f t="shared" si="14"/>
        <v>261.87877079978529</v>
      </c>
      <c r="BP19" s="611" t="e">
        <f t="shared" si="15"/>
        <v>#VALUE!</v>
      </c>
      <c r="BR19" s="564">
        <f t="shared" si="16"/>
        <v>19.25</v>
      </c>
      <c r="BS19" s="564">
        <f t="shared" si="17"/>
        <v>0.18060000000000001</v>
      </c>
      <c r="BT19" s="564">
        <f t="shared" si="18"/>
        <v>0.245</v>
      </c>
      <c r="BU19" s="564">
        <f t="shared" si="19"/>
        <v>4.4799999999999995</v>
      </c>
      <c r="BV19" s="564">
        <f t="shared" si="20"/>
        <v>1.4</v>
      </c>
      <c r="BW19" s="564" t="e">
        <f t="shared" si="21"/>
        <v>#VALUE!</v>
      </c>
      <c r="BX19" s="564">
        <f t="shared" si="0"/>
        <v>9.5200000000000007E-2</v>
      </c>
      <c r="BY19" s="564">
        <f t="shared" si="22"/>
        <v>0.16559999999999997</v>
      </c>
      <c r="BZ19" s="564">
        <f t="shared" si="23"/>
        <v>1.2692E-2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0.66666666666666674</v>
      </c>
      <c r="CE19" s="610">
        <f t="shared" si="27"/>
        <v>1.0714285714285714</v>
      </c>
      <c r="CF19" s="610">
        <f t="shared" si="40"/>
        <v>0.18000000000000005</v>
      </c>
      <c r="CG19" s="610">
        <f t="shared" si="41"/>
        <v>1.1780000000000002</v>
      </c>
    </row>
    <row r="20" spans="2:85" ht="20.149999999999999" customHeight="1" x14ac:dyDescent="0.2">
      <c r="B20" s="21" t="s">
        <v>642</v>
      </c>
      <c r="C20" s="52" t="s">
        <v>641</v>
      </c>
      <c r="D20" s="53">
        <v>17</v>
      </c>
      <c r="E20" s="54" t="s">
        <v>483</v>
      </c>
      <c r="F20" s="55">
        <v>0.1</v>
      </c>
      <c r="G20" s="55">
        <v>7.9</v>
      </c>
      <c r="H20" s="56">
        <v>7.4999999999999997E-2</v>
      </c>
      <c r="I20" s="55">
        <v>2.6</v>
      </c>
      <c r="J20" s="55" t="s">
        <v>66</v>
      </c>
      <c r="K20" s="55">
        <v>1.0999999999999999E-2</v>
      </c>
      <c r="L20" s="52">
        <v>4.3999999999999997E-2</v>
      </c>
      <c r="M20" s="54">
        <v>93</v>
      </c>
      <c r="N20" s="55" t="s">
        <v>484</v>
      </c>
      <c r="O20" s="55" t="s">
        <v>232</v>
      </c>
      <c r="P20" s="55">
        <v>63</v>
      </c>
      <c r="Q20" s="55">
        <v>120</v>
      </c>
      <c r="R20" s="55" t="s">
        <v>486</v>
      </c>
      <c r="S20" s="55">
        <v>7.1</v>
      </c>
      <c r="T20" s="55">
        <v>5.7</v>
      </c>
      <c r="U20" s="55">
        <v>0.98</v>
      </c>
      <c r="V20" s="55">
        <v>6</v>
      </c>
      <c r="W20" s="55">
        <v>95</v>
      </c>
      <c r="X20" s="55" t="s">
        <v>487</v>
      </c>
      <c r="Y20" s="55">
        <v>0.85</v>
      </c>
      <c r="Z20" s="55">
        <v>12</v>
      </c>
      <c r="AA20" s="55">
        <v>24</v>
      </c>
      <c r="AB20" s="55">
        <v>1</v>
      </c>
      <c r="AC20" s="55" t="s">
        <v>490</v>
      </c>
      <c r="AD20" s="55" t="s">
        <v>491</v>
      </c>
      <c r="AE20" s="55" t="s">
        <v>492</v>
      </c>
      <c r="AF20" s="55">
        <v>1</v>
      </c>
      <c r="AG20" s="55" t="s">
        <v>493</v>
      </c>
      <c r="AH20" s="55">
        <v>3.3</v>
      </c>
      <c r="AI20" s="55" t="s">
        <v>493</v>
      </c>
      <c r="AJ20" s="55" t="s">
        <v>494</v>
      </c>
      <c r="AK20" s="55" t="s">
        <v>241</v>
      </c>
      <c r="AL20" s="53" t="s">
        <v>469</v>
      </c>
      <c r="AM20" s="53" t="s">
        <v>495</v>
      </c>
      <c r="AN20" s="53" t="s">
        <v>257</v>
      </c>
      <c r="AO20" s="53" t="s">
        <v>244</v>
      </c>
      <c r="AP20" s="55">
        <v>4.7</v>
      </c>
      <c r="AQ20" s="52"/>
      <c r="AR20" s="54" t="s">
        <v>496</v>
      </c>
      <c r="AS20" s="56">
        <v>0.8</v>
      </c>
      <c r="AT20" s="56">
        <v>0.23</v>
      </c>
      <c r="AU20" s="56">
        <v>0.17</v>
      </c>
      <c r="AV20" s="56">
        <v>0.55000000000000004</v>
      </c>
      <c r="AW20" s="55">
        <v>0.65</v>
      </c>
      <c r="AX20" s="53">
        <v>0.74</v>
      </c>
      <c r="AY20" s="53">
        <v>6.5000000000000002E-2</v>
      </c>
      <c r="AZ20" s="53">
        <v>1.8</v>
      </c>
      <c r="BA20" s="53">
        <v>0.91</v>
      </c>
      <c r="BB20" s="52">
        <v>1.7</v>
      </c>
      <c r="BC20" s="619">
        <f t="shared" si="3"/>
        <v>0.97222222222222221</v>
      </c>
      <c r="BD20" s="610">
        <f t="shared" si="4"/>
        <v>0.99450549450549453</v>
      </c>
      <c r="BF20" s="610" t="e">
        <f t="shared" si="5"/>
        <v>#VALUE!</v>
      </c>
      <c r="BG20" s="610">
        <f t="shared" si="6"/>
        <v>1.6129032258064516E-3</v>
      </c>
      <c r="BH20" s="610">
        <f t="shared" si="7"/>
        <v>0.16458333333333333</v>
      </c>
      <c r="BI20" s="610">
        <f t="shared" si="8"/>
        <v>3.2608695652173911E-3</v>
      </c>
      <c r="BJ20" s="610">
        <f t="shared" si="9"/>
        <v>0.14444444444444446</v>
      </c>
      <c r="BK20" s="610" t="e">
        <f t="shared" si="10"/>
        <v>#VALUE!</v>
      </c>
      <c r="BL20" s="610">
        <f t="shared" si="11"/>
        <v>9.0534979423868302E-4</v>
      </c>
      <c r="BM20" s="610">
        <f t="shared" si="12"/>
        <v>2.1999999999999997E-3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10.862500000000001</v>
      </c>
      <c r="BS20" s="564">
        <f t="shared" si="17"/>
        <v>0.129</v>
      </c>
      <c r="BT20" s="564">
        <f t="shared" si="18"/>
        <v>0.1875</v>
      </c>
      <c r="BU20" s="564">
        <f t="shared" si="19"/>
        <v>2.8800000000000003</v>
      </c>
      <c r="BV20" s="564">
        <f t="shared" si="20"/>
        <v>0.91</v>
      </c>
      <c r="BW20" s="564" t="e">
        <f t="shared" si="21"/>
        <v>#VALUE!</v>
      </c>
      <c r="BX20" s="564">
        <f t="shared" si="0"/>
        <v>0.16799999999999998</v>
      </c>
      <c r="BY20" s="564">
        <f t="shared" si="22"/>
        <v>0.13109999999999999</v>
      </c>
      <c r="BZ20" s="564">
        <f t="shared" si="23"/>
        <v>1.1856999999999999E-2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0.66420664206642066</v>
      </c>
      <c r="CE20" s="610">
        <f t="shared" si="27"/>
        <v>0.94444444444444442</v>
      </c>
      <c r="CF20" s="610">
        <f t="shared" si="40"/>
        <v>9.9999999999999978E-2</v>
      </c>
      <c r="CG20" s="610">
        <f t="shared" si="41"/>
        <v>0.80499999999999994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25.214285714285719</v>
      </c>
      <c r="E21" s="541">
        <f t="shared" ref="E21:BB21" si="42">AVERAGE(E12:E18)</f>
        <v>4.0500000000000001E-2</v>
      </c>
      <c r="F21" s="541">
        <f t="shared" si="42"/>
        <v>0.13</v>
      </c>
      <c r="G21" s="540">
        <f t="shared" si="42"/>
        <v>11.057142857142859</v>
      </c>
      <c r="H21" s="541">
        <f t="shared" si="42"/>
        <v>0.14835714285714285</v>
      </c>
      <c r="I21" s="540">
        <f t="shared" si="42"/>
        <v>3.7285714285714286</v>
      </c>
      <c r="J21" s="541">
        <f t="shared" si="42"/>
        <v>0.11</v>
      </c>
      <c r="K21" s="541">
        <f t="shared" si="42"/>
        <v>2.0571428571428574E-2</v>
      </c>
      <c r="L21" s="541">
        <f t="shared" si="42"/>
        <v>4.8285714285714286E-2</v>
      </c>
      <c r="M21" s="540">
        <f t="shared" si="42"/>
        <v>152.42857142857142</v>
      </c>
      <c r="N21" s="540">
        <f t="shared" si="42"/>
        <v>21.5</v>
      </c>
      <c r="O21" s="540" t="e">
        <f t="shared" si="42"/>
        <v>#DIV/0!</v>
      </c>
      <c r="P21" s="540">
        <f t="shared" si="42"/>
        <v>114.42857142857143</v>
      </c>
      <c r="Q21" s="540">
        <f t="shared" si="42"/>
        <v>83.285714285714292</v>
      </c>
      <c r="R21" s="540">
        <f t="shared" si="42"/>
        <v>0.13</v>
      </c>
      <c r="S21" s="540">
        <f t="shared" si="42"/>
        <v>6.5428571428571427</v>
      </c>
      <c r="T21" s="540">
        <f t="shared" si="42"/>
        <v>12.87142857142857</v>
      </c>
      <c r="U21" s="540">
        <f t="shared" si="42"/>
        <v>1.0678571428571428</v>
      </c>
      <c r="V21" s="540">
        <f t="shared" si="42"/>
        <v>6.2714285714285714</v>
      </c>
      <c r="W21" s="540">
        <f t="shared" si="42"/>
        <v>131.14285714285714</v>
      </c>
      <c r="X21" s="540">
        <f t="shared" si="42"/>
        <v>0.21500000000000002</v>
      </c>
      <c r="Y21" s="540">
        <f t="shared" si="42"/>
        <v>3.4857142857142853</v>
      </c>
      <c r="Z21" s="540">
        <f t="shared" si="42"/>
        <v>68.142857142857139</v>
      </c>
      <c r="AA21" s="540">
        <f t="shared" si="42"/>
        <v>29.142857142857142</v>
      </c>
      <c r="AB21" s="540">
        <f t="shared" si="42"/>
        <v>1.2414285714285713</v>
      </c>
      <c r="AC21" s="541">
        <f t="shared" si="42"/>
        <v>1.5142857142857145</v>
      </c>
      <c r="AD21" s="541">
        <f t="shared" si="42"/>
        <v>0.38500000000000006</v>
      </c>
      <c r="AE21" s="541">
        <f t="shared" si="42"/>
        <v>0.43714285714285711</v>
      </c>
      <c r="AF21" s="541">
        <f t="shared" si="42"/>
        <v>1.4085714285714286</v>
      </c>
      <c r="AG21" s="541">
        <f t="shared" si="42"/>
        <v>0.25499999999999995</v>
      </c>
      <c r="AH21" s="541">
        <f t="shared" si="42"/>
        <v>5.0142857142857142</v>
      </c>
      <c r="AI21" s="541">
        <f t="shared" si="42"/>
        <v>0.25499999999999995</v>
      </c>
      <c r="AJ21" s="541">
        <f t="shared" si="42"/>
        <v>0.22</v>
      </c>
      <c r="AK21" s="541">
        <f t="shared" si="42"/>
        <v>0.16500000000000001</v>
      </c>
      <c r="AL21" s="541">
        <f t="shared" si="42"/>
        <v>0.24</v>
      </c>
      <c r="AM21" s="541">
        <f t="shared" si="42"/>
        <v>8.5714285714285729E-2</v>
      </c>
      <c r="AN21" s="541">
        <f t="shared" si="42"/>
        <v>0.02</v>
      </c>
      <c r="AO21" s="541">
        <f t="shared" si="42"/>
        <v>0.18500000000000003</v>
      </c>
      <c r="AP21" s="541">
        <f t="shared" si="42"/>
        <v>5.8571428571428568</v>
      </c>
      <c r="AQ21" s="541" t="e">
        <f t="shared" si="42"/>
        <v>#DIV/0!</v>
      </c>
      <c r="AR21" s="540">
        <f t="shared" si="42"/>
        <v>0.16692857142857145</v>
      </c>
      <c r="AS21" s="540">
        <f t="shared" si="42"/>
        <v>1.2571428571428569</v>
      </c>
      <c r="AT21" s="540">
        <f t="shared" si="42"/>
        <v>0.54428571428571426</v>
      </c>
      <c r="AU21" s="540">
        <f t="shared" si="42"/>
        <v>0.4042857142857143</v>
      </c>
      <c r="AV21" s="540">
        <f t="shared" si="42"/>
        <v>0.92</v>
      </c>
      <c r="AW21" s="540">
        <f t="shared" si="42"/>
        <v>1.2285714285714284</v>
      </c>
      <c r="AX21" s="540">
        <f t="shared" si="42"/>
        <v>0.95285714285714274</v>
      </c>
      <c r="AY21" s="540">
        <f t="shared" si="42"/>
        <v>9.685714285714285E-2</v>
      </c>
      <c r="AZ21" s="540">
        <f t="shared" si="42"/>
        <v>3.2857142857142851</v>
      </c>
      <c r="BA21" s="540">
        <f t="shared" si="42"/>
        <v>1.3571428571428574</v>
      </c>
      <c r="BB21" s="540">
        <f t="shared" si="42"/>
        <v>3.3142857142857141</v>
      </c>
      <c r="CD21" s="691">
        <f>AVERAGE(CD12:CD18)</f>
        <v>0.70487575996904039</v>
      </c>
      <c r="CE21" s="691">
        <f>AVERAGE(CE12:CE18)</f>
        <v>1.0080271138550985</v>
      </c>
      <c r="CF21" s="691">
        <f>AVERAGE(CF12:CF18)</f>
        <v>0.30857142857142861</v>
      </c>
      <c r="CG21" s="691">
        <f>AVERAGE(CG12:CG18)</f>
        <v>1.0497142857142856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21.707142857142859</v>
      </c>
      <c r="E22" s="545">
        <f t="shared" ref="E22:BB22" si="43">AVERAGE(E7:E20)</f>
        <v>4.0500000000000001E-2</v>
      </c>
      <c r="F22" s="545">
        <f t="shared" si="43"/>
        <v>0.13907142857142857</v>
      </c>
      <c r="G22" s="544">
        <f t="shared" si="43"/>
        <v>8.5500000000000007</v>
      </c>
      <c r="H22" s="545">
        <f t="shared" si="43"/>
        <v>0.14167857142857146</v>
      </c>
      <c r="I22" s="544">
        <f t="shared" si="43"/>
        <v>2.8671428571428579</v>
      </c>
      <c r="J22" s="545">
        <f t="shared" si="43"/>
        <v>0.13090909090909095</v>
      </c>
      <c r="K22" s="545">
        <f t="shared" si="43"/>
        <v>1.9785714285714288E-2</v>
      </c>
      <c r="L22" s="545">
        <f t="shared" si="43"/>
        <v>4.6357142857142861E-2</v>
      </c>
      <c r="M22" s="544">
        <f t="shared" si="43"/>
        <v>138.14285714285714</v>
      </c>
      <c r="N22" s="544">
        <f t="shared" si="43"/>
        <v>21.5</v>
      </c>
      <c r="O22" s="544" t="e">
        <f t="shared" si="43"/>
        <v>#DIV/0!</v>
      </c>
      <c r="P22" s="544">
        <f t="shared" si="43"/>
        <v>119.23076923076923</v>
      </c>
      <c r="Q22" s="544">
        <f t="shared" si="43"/>
        <v>83.7</v>
      </c>
      <c r="R22" s="544">
        <f t="shared" si="43"/>
        <v>0.13</v>
      </c>
      <c r="S22" s="544">
        <f t="shared" si="43"/>
        <v>6.9285714285714288</v>
      </c>
      <c r="T22" s="544">
        <f t="shared" si="43"/>
        <v>10.321428571428571</v>
      </c>
      <c r="U22" s="544">
        <f t="shared" si="43"/>
        <v>1.2753571428571431</v>
      </c>
      <c r="V22" s="544">
        <f t="shared" si="43"/>
        <v>6.3857142857142852</v>
      </c>
      <c r="W22" s="544">
        <f t="shared" si="43"/>
        <v>120.42857142857143</v>
      </c>
      <c r="X22" s="544">
        <f t="shared" si="43"/>
        <v>0.21500000000000002</v>
      </c>
      <c r="Y22" s="544">
        <f t="shared" si="43"/>
        <v>3.2807692307692307</v>
      </c>
      <c r="Z22" s="544">
        <f t="shared" si="43"/>
        <v>51.328571428571429</v>
      </c>
      <c r="AA22" s="544">
        <f t="shared" si="43"/>
        <v>28.846153846153847</v>
      </c>
      <c r="AB22" s="544">
        <f t="shared" si="43"/>
        <v>1.294</v>
      </c>
      <c r="AC22" s="545">
        <f t="shared" si="43"/>
        <v>1.5781818181818181</v>
      </c>
      <c r="AD22" s="545">
        <f t="shared" si="43"/>
        <v>0.38500000000000006</v>
      </c>
      <c r="AE22" s="545">
        <f t="shared" si="43"/>
        <v>0.57363636363636372</v>
      </c>
      <c r="AF22" s="545">
        <f t="shared" si="43"/>
        <v>1.3685714285714283</v>
      </c>
      <c r="AG22" s="545">
        <f t="shared" si="43"/>
        <v>0.25499999999999995</v>
      </c>
      <c r="AH22" s="545">
        <f t="shared" si="43"/>
        <v>5.8142857142857149</v>
      </c>
      <c r="AI22" s="545">
        <f t="shared" si="43"/>
        <v>0.25499999999999995</v>
      </c>
      <c r="AJ22" s="545">
        <f t="shared" si="43"/>
        <v>0.22</v>
      </c>
      <c r="AK22" s="545">
        <f t="shared" si="43"/>
        <v>0.16500000000000001</v>
      </c>
      <c r="AL22" s="545">
        <f t="shared" si="43"/>
        <v>0.24</v>
      </c>
      <c r="AM22" s="545">
        <f t="shared" si="43"/>
        <v>0.14600000000000002</v>
      </c>
      <c r="AN22" s="545">
        <f t="shared" si="43"/>
        <v>0.02</v>
      </c>
      <c r="AO22" s="545">
        <f t="shared" si="43"/>
        <v>0.18500000000000003</v>
      </c>
      <c r="AP22" s="545">
        <f t="shared" si="43"/>
        <v>4.9857142857142858</v>
      </c>
      <c r="AQ22" s="545" t="e">
        <f t="shared" si="43"/>
        <v>#DIV/0!</v>
      </c>
      <c r="AR22" s="544">
        <f t="shared" si="43"/>
        <v>0.19713636363636364</v>
      </c>
      <c r="AS22" s="544">
        <f t="shared" si="43"/>
        <v>1.3214285714285714</v>
      </c>
      <c r="AT22" s="544">
        <f t="shared" si="43"/>
        <v>0.68785714285714283</v>
      </c>
      <c r="AU22" s="544">
        <f t="shared" si="43"/>
        <v>0.44285714285714289</v>
      </c>
      <c r="AV22" s="544">
        <f t="shared" si="43"/>
        <v>0.94285714285714284</v>
      </c>
      <c r="AW22" s="544">
        <f t="shared" si="43"/>
        <v>1.2735714285714288</v>
      </c>
      <c r="AX22" s="544">
        <f t="shared" si="43"/>
        <v>0.9157142857142857</v>
      </c>
      <c r="AY22" s="544">
        <f t="shared" si="43"/>
        <v>8.9571428571428566E-2</v>
      </c>
      <c r="AZ22" s="544">
        <f t="shared" si="43"/>
        <v>3.5478571428571426</v>
      </c>
      <c r="BA22" s="544">
        <f t="shared" si="43"/>
        <v>1.34</v>
      </c>
      <c r="BB22" s="544">
        <f t="shared" si="43"/>
        <v>3.2914285714285714</v>
      </c>
      <c r="CD22" s="691">
        <f>AVERAGE(CD7:CD20)</f>
        <v>0.71392804602514326</v>
      </c>
      <c r="CE22" s="691">
        <f>AVERAGE(CE7:CE20)</f>
        <v>0.91860601912469675</v>
      </c>
      <c r="CF22" s="691">
        <f>AVERAGE(CF7:CF20)</f>
        <v>0.33071428571428568</v>
      </c>
      <c r="CG22" s="691">
        <f>AVERAGE(CG7:CG20)</f>
        <v>1.0052857142857146</v>
      </c>
    </row>
    <row r="23" spans="2:85" ht="20.149999999999999" customHeight="1" x14ac:dyDescent="0.2">
      <c r="B23" s="704" t="s">
        <v>94</v>
      </c>
      <c r="C23" s="705"/>
      <c r="D23" s="57"/>
      <c r="E23" s="30">
        <v>8.1000000000000003E-2</v>
      </c>
      <c r="F23" s="29">
        <v>4.2000000000000003E-2</v>
      </c>
      <c r="G23" s="29">
        <v>3.4000000000000002E-2</v>
      </c>
      <c r="H23" s="30">
        <v>6.9000000000000006E-2</v>
      </c>
      <c r="I23" s="29">
        <v>1.4E-2</v>
      </c>
      <c r="J23" s="29">
        <v>0.12</v>
      </c>
      <c r="K23" s="29">
        <v>3.7000000000000002E-3</v>
      </c>
      <c r="L23" s="26">
        <v>1.6E-2</v>
      </c>
      <c r="M23" s="30">
        <v>40</v>
      </c>
      <c r="N23" s="29">
        <v>43</v>
      </c>
      <c r="O23" s="29" t="s">
        <v>232</v>
      </c>
      <c r="P23" s="29">
        <v>33</v>
      </c>
      <c r="Q23" s="29">
        <v>66</v>
      </c>
      <c r="R23" s="29">
        <v>0.26</v>
      </c>
      <c r="S23" s="29">
        <v>0.7</v>
      </c>
      <c r="T23" s="29">
        <v>0.15</v>
      </c>
      <c r="U23" s="29">
        <v>0.67</v>
      </c>
      <c r="V23" s="29">
        <v>0.35</v>
      </c>
      <c r="W23" s="29">
        <v>10</v>
      </c>
      <c r="X23" s="29">
        <v>0.43</v>
      </c>
      <c r="Y23" s="29">
        <v>0.64</v>
      </c>
      <c r="Z23" s="29">
        <v>3.7</v>
      </c>
      <c r="AA23" s="29">
        <v>13</v>
      </c>
      <c r="AB23" s="29">
        <v>0.7</v>
      </c>
      <c r="AC23" s="29">
        <v>0.66</v>
      </c>
      <c r="AD23" s="29">
        <v>0.77</v>
      </c>
      <c r="AE23" s="29">
        <v>0.34</v>
      </c>
      <c r="AF23" s="29">
        <v>0.17</v>
      </c>
      <c r="AG23" s="29">
        <v>0.51</v>
      </c>
      <c r="AH23" s="29">
        <v>0.33</v>
      </c>
      <c r="AI23" s="29">
        <v>0.51</v>
      </c>
      <c r="AJ23" s="29">
        <v>0.44</v>
      </c>
      <c r="AK23" s="29">
        <v>0.33</v>
      </c>
      <c r="AL23" s="27">
        <v>0.48</v>
      </c>
      <c r="AM23" s="58">
        <v>0.14000000000000001</v>
      </c>
      <c r="AN23" s="58">
        <v>0.04</v>
      </c>
      <c r="AO23" s="58">
        <v>0.37</v>
      </c>
      <c r="AP23" s="59">
        <v>0.44</v>
      </c>
      <c r="AQ23" s="60"/>
      <c r="AR23" s="28">
        <v>5.7000000000000002E-2</v>
      </c>
      <c r="AS23" s="30">
        <v>2.5000000000000001E-2</v>
      </c>
      <c r="AT23" s="30">
        <v>7.3999999999999996E-2</v>
      </c>
      <c r="AU23" s="30">
        <v>0</v>
      </c>
      <c r="AV23" s="30">
        <v>0</v>
      </c>
      <c r="AW23" s="29">
        <v>3.1E-2</v>
      </c>
      <c r="AX23" s="27">
        <v>0</v>
      </c>
      <c r="AY23" s="27">
        <v>0</v>
      </c>
      <c r="AZ23" s="27"/>
      <c r="BA23" s="27"/>
      <c r="BB23" s="26">
        <v>0.41</v>
      </c>
    </row>
    <row r="24" spans="2:85" ht="20.149999999999999" customHeight="1" x14ac:dyDescent="0.2">
      <c r="B24" s="692" t="s">
        <v>95</v>
      </c>
      <c r="C24" s="693"/>
      <c r="D24" s="61"/>
      <c r="E24" s="56">
        <v>0.27</v>
      </c>
      <c r="F24" s="55">
        <v>0.14000000000000001</v>
      </c>
      <c r="G24" s="55">
        <v>0.11</v>
      </c>
      <c r="H24" s="56">
        <v>0.23</v>
      </c>
      <c r="I24" s="55">
        <v>4.4999999999999998E-2</v>
      </c>
      <c r="J24" s="55">
        <v>0.4</v>
      </c>
      <c r="K24" s="55">
        <v>1.2E-2</v>
      </c>
      <c r="L24" s="52">
        <v>5.2999999999999999E-2</v>
      </c>
      <c r="M24" s="56">
        <v>130</v>
      </c>
      <c r="N24" s="55">
        <v>140</v>
      </c>
      <c r="O24" s="55" t="s">
        <v>232</v>
      </c>
      <c r="P24" s="55">
        <v>110</v>
      </c>
      <c r="Q24" s="55">
        <v>220</v>
      </c>
      <c r="R24" s="55">
        <v>0.87</v>
      </c>
      <c r="S24" s="55">
        <v>2.2999999999999998</v>
      </c>
      <c r="T24" s="55">
        <v>0.49</v>
      </c>
      <c r="U24" s="55">
        <v>2.2000000000000002</v>
      </c>
      <c r="V24" s="55">
        <v>1.2</v>
      </c>
      <c r="W24" s="55">
        <v>34</v>
      </c>
      <c r="X24" s="55">
        <v>1.4</v>
      </c>
      <c r="Y24" s="55">
        <v>2.1</v>
      </c>
      <c r="Z24" s="55">
        <v>12</v>
      </c>
      <c r="AA24" s="55">
        <v>45</v>
      </c>
      <c r="AB24" s="55">
        <v>2.2999999999999998</v>
      </c>
      <c r="AC24" s="55">
        <v>2.2000000000000002</v>
      </c>
      <c r="AD24" s="55">
        <v>2.6</v>
      </c>
      <c r="AE24" s="55">
        <v>1.1000000000000001</v>
      </c>
      <c r="AF24" s="55">
        <v>0.55000000000000004</v>
      </c>
      <c r="AG24" s="55">
        <v>1.7</v>
      </c>
      <c r="AH24" s="55">
        <v>1.1000000000000001</v>
      </c>
      <c r="AI24" s="55">
        <v>1.7</v>
      </c>
      <c r="AJ24" s="55">
        <v>1.5</v>
      </c>
      <c r="AK24" s="55">
        <v>1.1000000000000001</v>
      </c>
      <c r="AL24" s="53">
        <v>1.6</v>
      </c>
      <c r="AM24" s="53">
        <v>0.48</v>
      </c>
      <c r="AN24" s="53">
        <v>0.13</v>
      </c>
      <c r="AO24" s="53">
        <v>1.2</v>
      </c>
      <c r="AP24" s="55">
        <v>1.5</v>
      </c>
      <c r="AQ24" s="52"/>
      <c r="AR24" s="54">
        <v>0.19</v>
      </c>
      <c r="AS24" s="56">
        <v>8.5000000000000006E-2</v>
      </c>
      <c r="AT24" s="56">
        <v>0.25</v>
      </c>
      <c r="AU24" s="56">
        <v>0</v>
      </c>
      <c r="AV24" s="56">
        <v>0</v>
      </c>
      <c r="AW24" s="55">
        <v>0.1</v>
      </c>
      <c r="AX24" s="53">
        <v>0</v>
      </c>
      <c r="AY24" s="53">
        <v>0</v>
      </c>
      <c r="AZ24" s="53"/>
      <c r="BA24" s="53"/>
      <c r="BB24" s="52">
        <v>1.4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43" priority="6" stopIfTrue="1" operator="notBetween">
      <formula>0.8</formula>
      <formula>1.2</formula>
    </cfRule>
  </conditionalFormatting>
  <conditionalFormatting sqref="BC7:BD20">
    <cfRule type="cellIs" dxfId="42" priority="5" stopIfTrue="1" operator="notBetween">
      <formula>0.9</formula>
      <formula>1.1</formula>
    </cfRule>
  </conditionalFormatting>
  <conditionalFormatting sqref="BP7:BP20">
    <cfRule type="cellIs" dxfId="41" priority="3" stopIfTrue="1" operator="notBetween">
      <formula>0.8</formula>
      <formula>1.2</formula>
    </cfRule>
  </conditionalFormatting>
  <conditionalFormatting sqref="CF7:CF20">
    <cfRule type="cellIs" dxfId="40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44" fitToWidth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593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642</v>
      </c>
      <c r="C7" s="26" t="s">
        <v>628</v>
      </c>
      <c r="D7" s="27">
        <v>4.9000000000000004</v>
      </c>
      <c r="E7" s="28">
        <v>0.05</v>
      </c>
      <c r="F7" s="29">
        <v>0.09</v>
      </c>
      <c r="G7" s="29">
        <v>1.5</v>
      </c>
      <c r="H7" s="30">
        <v>0.27</v>
      </c>
      <c r="I7" s="29">
        <v>0.15</v>
      </c>
      <c r="J7" s="29">
        <v>0.11</v>
      </c>
      <c r="K7" s="29">
        <v>0.03</v>
      </c>
      <c r="L7" s="26">
        <v>0.04</v>
      </c>
      <c r="M7" s="28">
        <v>220</v>
      </c>
      <c r="N7" s="29" t="s">
        <v>558</v>
      </c>
      <c r="O7" s="29">
        <v>44</v>
      </c>
      <c r="P7" s="29">
        <v>23</v>
      </c>
      <c r="Q7" s="29">
        <v>40</v>
      </c>
      <c r="R7" s="29" t="s">
        <v>292</v>
      </c>
      <c r="S7" s="29">
        <v>2.2000000000000002</v>
      </c>
      <c r="T7" s="29">
        <v>3</v>
      </c>
      <c r="U7" s="29" t="s">
        <v>644</v>
      </c>
      <c r="V7" s="29" t="s">
        <v>69</v>
      </c>
      <c r="W7" s="29">
        <v>44</v>
      </c>
      <c r="X7" s="29" t="s">
        <v>260</v>
      </c>
      <c r="Y7" s="29" t="s">
        <v>645</v>
      </c>
      <c r="Z7" s="29" t="s">
        <v>291</v>
      </c>
      <c r="AA7" s="29" t="s">
        <v>235</v>
      </c>
      <c r="AB7" s="29" t="s">
        <v>559</v>
      </c>
      <c r="AC7" s="29" t="s">
        <v>540</v>
      </c>
      <c r="AD7" s="29" t="s">
        <v>291</v>
      </c>
      <c r="AE7" s="29" t="s">
        <v>69</v>
      </c>
      <c r="AF7" s="29" t="s">
        <v>555</v>
      </c>
      <c r="AG7" s="29" t="s">
        <v>556</v>
      </c>
      <c r="AH7" s="29" t="s">
        <v>325</v>
      </c>
      <c r="AI7" s="29" t="s">
        <v>436</v>
      </c>
      <c r="AJ7" s="29" t="s">
        <v>488</v>
      </c>
      <c r="AK7" s="29" t="s">
        <v>460</v>
      </c>
      <c r="AL7" s="27" t="s">
        <v>552</v>
      </c>
      <c r="AM7" s="27" t="s">
        <v>257</v>
      </c>
      <c r="AN7" s="27" t="s">
        <v>73</v>
      </c>
      <c r="AO7" s="27" t="s">
        <v>557</v>
      </c>
      <c r="AP7" s="29" t="s">
        <v>71</v>
      </c>
      <c r="AQ7" s="26"/>
      <c r="AR7" s="28">
        <v>0</v>
      </c>
      <c r="AS7" s="30">
        <v>0.87</v>
      </c>
      <c r="AT7" s="30">
        <v>0.33</v>
      </c>
      <c r="AU7" s="30">
        <v>0.11</v>
      </c>
      <c r="AV7" s="30">
        <v>0.06</v>
      </c>
      <c r="AW7" s="29">
        <v>0.13</v>
      </c>
      <c r="AX7" s="27">
        <v>0.12</v>
      </c>
      <c r="AY7" s="27">
        <v>0</v>
      </c>
      <c r="AZ7" s="27">
        <v>1.4</v>
      </c>
      <c r="BA7" s="27">
        <v>0.19</v>
      </c>
      <c r="BB7" s="26" t="s">
        <v>64</v>
      </c>
      <c r="BC7" s="619">
        <f>SUM(AR7:AV7)/AZ7</f>
        <v>0.97857142857142876</v>
      </c>
      <c r="BD7" s="610">
        <f>(SUM(AW7:AY7)-AV7)/BA7</f>
        <v>1</v>
      </c>
      <c r="BF7" s="610">
        <f>E7/35.5</f>
        <v>1.4084507042253522E-3</v>
      </c>
      <c r="BG7" s="610">
        <f>F7/62</f>
        <v>1.4516129032258063E-3</v>
      </c>
      <c r="BH7" s="610">
        <f>G7/(96/2)</f>
        <v>3.125E-2</v>
      </c>
      <c r="BI7" s="610">
        <f>H7/23</f>
        <v>1.173913043478261E-2</v>
      </c>
      <c r="BJ7" s="610">
        <f>I7/18</f>
        <v>8.3333333333333332E-3</v>
      </c>
      <c r="BK7" s="610">
        <f>J7/39</f>
        <v>2.8205128205128207E-3</v>
      </c>
      <c r="BL7" s="610">
        <f>K7/(24.3/2)</f>
        <v>2.4691358024691358E-3</v>
      </c>
      <c r="BM7" s="610">
        <f>L7/(40/2)</f>
        <v>2E-3</v>
      </c>
      <c r="BN7" s="563">
        <f>SUM(BF7:BH7)*1000</f>
        <v>34.110063607451153</v>
      </c>
      <c r="BO7" s="563">
        <f>SUM(BI7:BM7)*1000</f>
        <v>27.362112391097906</v>
      </c>
      <c r="BP7" s="611">
        <f>BN7/BO7</f>
        <v>1.2466166032761656</v>
      </c>
      <c r="BR7" s="564">
        <f>1.375*G7</f>
        <v>2.0625</v>
      </c>
      <c r="BS7" s="564">
        <f>1.29*F7</f>
        <v>0.11609999999999999</v>
      </c>
      <c r="BT7" s="564">
        <f>2.5*H7</f>
        <v>0.67500000000000004</v>
      </c>
      <c r="BU7" s="564">
        <f>1.6*AZ7</f>
        <v>2.2399999999999998</v>
      </c>
      <c r="BV7" s="564">
        <f>BA7</f>
        <v>0.19</v>
      </c>
      <c r="BW7" s="564" t="e">
        <f>9.19/1000*N7</f>
        <v>#VALUE!</v>
      </c>
      <c r="BX7" s="564">
        <f t="shared" ref="BX7:BX20" si="0">Q7/1000*1.4</f>
        <v>5.5999999999999994E-2</v>
      </c>
      <c r="BY7" s="564">
        <f>W7/1000*1.38</f>
        <v>6.0719999999999989E-2</v>
      </c>
      <c r="BZ7" s="564">
        <f>S7/1000*1.67</f>
        <v>3.6740000000000002E-3</v>
      </c>
      <c r="CA7" s="564" t="e">
        <f>SUM(BR7:BZ7)</f>
        <v>#VALUE!</v>
      </c>
      <c r="CB7" s="611" t="e">
        <f>CA7/D7</f>
        <v>#VALUE!</v>
      </c>
      <c r="CD7" s="610">
        <f>AZ7/(AZ7+BA7)</f>
        <v>0.88050314465408808</v>
      </c>
      <c r="CE7" s="610" t="e">
        <f>BB7/AZ7</f>
        <v>#VALUE!</v>
      </c>
      <c r="CF7" s="610">
        <f t="shared" ref="CF7:CF12" si="1">IF(AW7-AV7&gt;0,AW7-AV7,0)</f>
        <v>7.0000000000000007E-2</v>
      </c>
      <c r="CG7" s="610">
        <f t="shared" ref="CG7:CG12" si="2">IF(AW7-AV7&gt;0,AX7+AY7,AW7+AX7+AY7-AV7)</f>
        <v>0.12</v>
      </c>
    </row>
    <row r="8" spans="2:85" ht="20.149999999999999" customHeight="1" x14ac:dyDescent="0.2">
      <c r="B8" s="31" t="s">
        <v>642</v>
      </c>
      <c r="C8" s="32" t="s">
        <v>629</v>
      </c>
      <c r="D8" s="33">
        <v>6.7</v>
      </c>
      <c r="E8" s="34" t="s">
        <v>531</v>
      </c>
      <c r="F8" s="35">
        <v>0.11</v>
      </c>
      <c r="G8" s="35">
        <v>1.7</v>
      </c>
      <c r="H8" s="36">
        <v>0.21</v>
      </c>
      <c r="I8" s="35">
        <v>0.4</v>
      </c>
      <c r="J8" s="35">
        <v>0.09</v>
      </c>
      <c r="K8" s="35">
        <v>0.03</v>
      </c>
      <c r="L8" s="32">
        <v>0.05</v>
      </c>
      <c r="M8" s="34">
        <v>88</v>
      </c>
      <c r="N8" s="35" t="s">
        <v>558</v>
      </c>
      <c r="O8" s="35">
        <v>21</v>
      </c>
      <c r="P8" s="35">
        <v>38</v>
      </c>
      <c r="Q8" s="35">
        <v>23</v>
      </c>
      <c r="R8" s="35" t="s">
        <v>292</v>
      </c>
      <c r="S8" s="35">
        <v>1.7</v>
      </c>
      <c r="T8" s="35">
        <v>3</v>
      </c>
      <c r="U8" s="35">
        <v>0.97</v>
      </c>
      <c r="V8" s="35">
        <v>3</v>
      </c>
      <c r="W8" s="35">
        <v>69</v>
      </c>
      <c r="X8" s="35" t="s">
        <v>260</v>
      </c>
      <c r="Y8" s="35">
        <v>1.8</v>
      </c>
      <c r="Z8" s="35">
        <v>2</v>
      </c>
      <c r="AA8" s="35">
        <v>7.8</v>
      </c>
      <c r="AB8" s="35" t="s">
        <v>559</v>
      </c>
      <c r="AC8" s="35" t="s">
        <v>540</v>
      </c>
      <c r="AD8" s="35" t="s">
        <v>291</v>
      </c>
      <c r="AE8" s="35" t="s">
        <v>69</v>
      </c>
      <c r="AF8" s="35" t="s">
        <v>555</v>
      </c>
      <c r="AG8" s="35" t="s">
        <v>556</v>
      </c>
      <c r="AH8" s="35" t="s">
        <v>325</v>
      </c>
      <c r="AI8" s="35" t="s">
        <v>436</v>
      </c>
      <c r="AJ8" s="35" t="s">
        <v>488</v>
      </c>
      <c r="AK8" s="35" t="s">
        <v>460</v>
      </c>
      <c r="AL8" s="33" t="s">
        <v>552</v>
      </c>
      <c r="AM8" s="33">
        <v>0.35</v>
      </c>
      <c r="AN8" s="33" t="s">
        <v>73</v>
      </c>
      <c r="AO8" s="33" t="s">
        <v>557</v>
      </c>
      <c r="AP8" s="35">
        <v>6.1</v>
      </c>
      <c r="AQ8" s="32"/>
      <c r="AR8" s="34">
        <v>0.1</v>
      </c>
      <c r="AS8" s="36">
        <v>0.95</v>
      </c>
      <c r="AT8" s="36">
        <v>0.66</v>
      </c>
      <c r="AU8" s="36">
        <v>0.33</v>
      </c>
      <c r="AV8" s="36">
        <v>0.22</v>
      </c>
      <c r="AW8" s="35">
        <v>0.7</v>
      </c>
      <c r="AX8" s="33">
        <v>0.36</v>
      </c>
      <c r="AY8" s="33">
        <v>0.02</v>
      </c>
      <c r="AZ8" s="33">
        <v>2.2999999999999998</v>
      </c>
      <c r="BA8" s="33">
        <v>0.86</v>
      </c>
      <c r="BB8" s="32" t="s">
        <v>64</v>
      </c>
      <c r="BC8" s="619">
        <f t="shared" ref="BC8:BC20" si="3">SUM(AR8:AV8)/AZ8</f>
        <v>0.98260869565217412</v>
      </c>
      <c r="BD8" s="610">
        <f t="shared" ref="BD8:BD20" si="4">(SUM(AW8:AY8)-AV8)/BA8</f>
        <v>1.0000000000000002</v>
      </c>
      <c r="BF8" s="610" t="e">
        <f t="shared" ref="BF8:BF20" si="5">E8/35.5</f>
        <v>#VALUE!</v>
      </c>
      <c r="BG8" s="610">
        <f t="shared" ref="BG8:BG20" si="6">F8/62</f>
        <v>1.7741935483870969E-3</v>
      </c>
      <c r="BH8" s="610">
        <f t="shared" ref="BH8:BH20" si="7">G8/(96/2)</f>
        <v>3.5416666666666666E-2</v>
      </c>
      <c r="BI8" s="610">
        <f t="shared" ref="BI8:BI20" si="8">H8/23</f>
        <v>9.1304347826086946E-3</v>
      </c>
      <c r="BJ8" s="610">
        <f t="shared" ref="BJ8:BJ20" si="9">I8/18</f>
        <v>2.2222222222222223E-2</v>
      </c>
      <c r="BK8" s="610">
        <f t="shared" ref="BK8:BK20" si="10">J8/39</f>
        <v>2.3076923076923075E-3</v>
      </c>
      <c r="BL8" s="610">
        <f t="shared" ref="BL8:BL20" si="11">K8/(24.3/2)</f>
        <v>2.4691358024691358E-3</v>
      </c>
      <c r="BM8" s="610">
        <f t="shared" ref="BM8:BM20" si="12">L8/(40/2)</f>
        <v>2.5000000000000001E-3</v>
      </c>
      <c r="BN8" s="563" t="e">
        <f t="shared" ref="BN8:BN20" si="13">SUM(BF8:BH8)*1000</f>
        <v>#VALUE!</v>
      </c>
      <c r="BO8" s="563">
        <f t="shared" ref="BO8:BO20" si="14">SUM(BI8:BM8)*1000</f>
        <v>38.62948511499237</v>
      </c>
      <c r="BP8" s="611" t="e">
        <f t="shared" ref="BP8:BP20" si="15">BN8/BO8</f>
        <v>#VALUE!</v>
      </c>
      <c r="BR8" s="564">
        <f t="shared" ref="BR8:BR20" si="16">1.375*G8</f>
        <v>2.3374999999999999</v>
      </c>
      <c r="BS8" s="564">
        <f t="shared" ref="BS8:BS20" si="17">1.29*F8</f>
        <v>0.1419</v>
      </c>
      <c r="BT8" s="564">
        <f t="shared" ref="BT8:BT20" si="18">2.5*H8</f>
        <v>0.52500000000000002</v>
      </c>
      <c r="BU8" s="564">
        <f t="shared" ref="BU8:BU20" si="19">1.6*AZ8</f>
        <v>3.6799999999999997</v>
      </c>
      <c r="BV8" s="564">
        <f t="shared" ref="BV8:BV20" si="20">BA8</f>
        <v>0.86</v>
      </c>
      <c r="BW8" s="564" t="e">
        <f t="shared" ref="BW8:BW20" si="21">9.19/1000*N8</f>
        <v>#VALUE!</v>
      </c>
      <c r="BX8" s="564">
        <f t="shared" si="0"/>
        <v>3.2199999999999999E-2</v>
      </c>
      <c r="BY8" s="564">
        <f t="shared" ref="BY8:BY20" si="22">W8/1000*1.38</f>
        <v>9.5219999999999999E-2</v>
      </c>
      <c r="BZ8" s="564">
        <f t="shared" ref="BZ8:BZ20" si="23">S8/1000*1.67</f>
        <v>2.8389999999999995E-3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0.72784810126582278</v>
      </c>
      <c r="CE8" s="610" t="e">
        <f t="shared" ref="CE8:CE20" si="27">BB8/AZ8</f>
        <v>#VALUE!</v>
      </c>
      <c r="CF8" s="610">
        <f t="shared" si="1"/>
        <v>0.48</v>
      </c>
      <c r="CG8" s="610">
        <f t="shared" si="2"/>
        <v>0.38</v>
      </c>
    </row>
    <row r="9" spans="2:85" ht="20.149999999999999" customHeight="1" x14ac:dyDescent="0.2">
      <c r="B9" s="31" t="s">
        <v>642</v>
      </c>
      <c r="C9" s="37" t="s">
        <v>630</v>
      </c>
      <c r="D9" s="33">
        <v>19.7</v>
      </c>
      <c r="E9" s="34">
        <v>0.01</v>
      </c>
      <c r="F9" s="35">
        <v>0.19</v>
      </c>
      <c r="G9" s="35">
        <v>5.3</v>
      </c>
      <c r="H9" s="36">
        <v>0.25</v>
      </c>
      <c r="I9" s="35">
        <v>1.7</v>
      </c>
      <c r="J9" s="35">
        <v>0.18</v>
      </c>
      <c r="K9" s="35">
        <v>0.04</v>
      </c>
      <c r="L9" s="32">
        <v>0.13</v>
      </c>
      <c r="M9" s="34">
        <v>210</v>
      </c>
      <c r="N9" s="35">
        <v>48</v>
      </c>
      <c r="O9" s="35">
        <v>140</v>
      </c>
      <c r="P9" s="35">
        <v>120</v>
      </c>
      <c r="Q9" s="35">
        <v>140</v>
      </c>
      <c r="R9" s="35" t="s">
        <v>292</v>
      </c>
      <c r="S9" s="35">
        <v>7.3</v>
      </c>
      <c r="T9" s="35">
        <v>38</v>
      </c>
      <c r="U9" s="35">
        <v>3.1</v>
      </c>
      <c r="V9" s="35">
        <v>15</v>
      </c>
      <c r="W9" s="35">
        <v>370</v>
      </c>
      <c r="X9" s="35" t="s">
        <v>260</v>
      </c>
      <c r="Y9" s="35">
        <v>11</v>
      </c>
      <c r="Z9" s="35">
        <v>5.6</v>
      </c>
      <c r="AA9" s="35">
        <v>43</v>
      </c>
      <c r="AB9" s="35" t="s">
        <v>559</v>
      </c>
      <c r="AC9" s="35">
        <v>1.7</v>
      </c>
      <c r="AD9" s="35" t="s">
        <v>291</v>
      </c>
      <c r="AE9" s="35">
        <v>3.5</v>
      </c>
      <c r="AF9" s="35" t="s">
        <v>555</v>
      </c>
      <c r="AG9" s="35" t="s">
        <v>556</v>
      </c>
      <c r="AH9" s="35" t="s">
        <v>325</v>
      </c>
      <c r="AI9" s="35" t="s">
        <v>436</v>
      </c>
      <c r="AJ9" s="35" t="s">
        <v>488</v>
      </c>
      <c r="AK9" s="35" t="s">
        <v>460</v>
      </c>
      <c r="AL9" s="33" t="s">
        <v>552</v>
      </c>
      <c r="AM9" s="33">
        <v>0.28000000000000003</v>
      </c>
      <c r="AN9" s="33" t="s">
        <v>73</v>
      </c>
      <c r="AO9" s="33" t="s">
        <v>557</v>
      </c>
      <c r="AP9" s="35">
        <v>4.8</v>
      </c>
      <c r="AQ9" s="32"/>
      <c r="AR9" s="34">
        <v>0.16</v>
      </c>
      <c r="AS9" s="36">
        <v>1.8</v>
      </c>
      <c r="AT9" s="36">
        <v>1.1000000000000001</v>
      </c>
      <c r="AU9" s="36">
        <v>0.84</v>
      </c>
      <c r="AV9" s="36">
        <v>0.85</v>
      </c>
      <c r="AW9" s="35">
        <v>2.2999999999999998</v>
      </c>
      <c r="AX9" s="33">
        <v>0.34</v>
      </c>
      <c r="AY9" s="33">
        <v>0.02</v>
      </c>
      <c r="AZ9" s="33">
        <v>4.8</v>
      </c>
      <c r="BA9" s="33">
        <v>1.8</v>
      </c>
      <c r="BB9" s="32" t="s">
        <v>64</v>
      </c>
      <c r="BC9" s="619">
        <f t="shared" si="3"/>
        <v>0.98958333333333337</v>
      </c>
      <c r="BD9" s="610">
        <f t="shared" si="4"/>
        <v>1.0055555555555553</v>
      </c>
      <c r="BF9" s="610">
        <f t="shared" si="5"/>
        <v>2.8169014084507044E-4</v>
      </c>
      <c r="BG9" s="610">
        <f t="shared" si="6"/>
        <v>3.0645161290322582E-3</v>
      </c>
      <c r="BH9" s="610">
        <f t="shared" si="7"/>
        <v>0.11041666666666666</v>
      </c>
      <c r="BI9" s="610">
        <f t="shared" si="8"/>
        <v>1.0869565217391304E-2</v>
      </c>
      <c r="BJ9" s="610">
        <f t="shared" si="9"/>
        <v>9.4444444444444442E-2</v>
      </c>
      <c r="BK9" s="610">
        <f t="shared" si="10"/>
        <v>4.6153846153846149E-3</v>
      </c>
      <c r="BL9" s="610">
        <f t="shared" si="11"/>
        <v>3.2921810699588477E-3</v>
      </c>
      <c r="BM9" s="610">
        <f t="shared" si="12"/>
        <v>6.5000000000000006E-3</v>
      </c>
      <c r="BN9" s="563">
        <f t="shared" si="13"/>
        <v>113.762872936544</v>
      </c>
      <c r="BO9" s="563">
        <f t="shared" si="14"/>
        <v>119.72157534717921</v>
      </c>
      <c r="BP9" s="611">
        <f t="shared" si="15"/>
        <v>0.95022866686012408</v>
      </c>
      <c r="BR9" s="564">
        <f t="shared" si="16"/>
        <v>7.2874999999999996</v>
      </c>
      <c r="BS9" s="564">
        <f t="shared" si="17"/>
        <v>0.24510000000000001</v>
      </c>
      <c r="BT9" s="564">
        <f t="shared" si="18"/>
        <v>0.625</v>
      </c>
      <c r="BU9" s="564">
        <f t="shared" si="19"/>
        <v>7.68</v>
      </c>
      <c r="BV9" s="564">
        <f t="shared" si="20"/>
        <v>1.8</v>
      </c>
      <c r="BW9" s="564">
        <f t="shared" si="21"/>
        <v>0.44112000000000001</v>
      </c>
      <c r="BX9" s="564">
        <f t="shared" si="0"/>
        <v>0.19600000000000001</v>
      </c>
      <c r="BY9" s="564">
        <f t="shared" si="22"/>
        <v>0.51059999999999994</v>
      </c>
      <c r="BZ9" s="564">
        <f t="shared" si="23"/>
        <v>1.2191E-2</v>
      </c>
      <c r="CA9" s="564">
        <f t="shared" si="24"/>
        <v>18.797511000000004</v>
      </c>
      <c r="CB9" s="611">
        <f t="shared" si="25"/>
        <v>0.95418837563451797</v>
      </c>
      <c r="CD9" s="610">
        <f t="shared" si="26"/>
        <v>0.72727272727272729</v>
      </c>
      <c r="CE9" s="610" t="e">
        <f t="shared" si="27"/>
        <v>#VALUE!</v>
      </c>
      <c r="CF9" s="610">
        <f t="shared" si="1"/>
        <v>1.4499999999999997</v>
      </c>
      <c r="CG9" s="610">
        <f t="shared" si="2"/>
        <v>0.36000000000000004</v>
      </c>
    </row>
    <row r="10" spans="2:85" ht="20.149999999999999" customHeight="1" x14ac:dyDescent="0.2">
      <c r="B10" s="31" t="s">
        <v>642</v>
      </c>
      <c r="C10" s="32" t="s">
        <v>631</v>
      </c>
      <c r="D10" s="33">
        <v>22.4</v>
      </c>
      <c r="E10" s="34" t="s">
        <v>531</v>
      </c>
      <c r="F10" s="35">
        <v>0.17</v>
      </c>
      <c r="G10" s="35">
        <v>6.1</v>
      </c>
      <c r="H10" s="36">
        <v>0.32</v>
      </c>
      <c r="I10" s="35">
        <v>2.2999999999999998</v>
      </c>
      <c r="J10" s="35">
        <v>0.2</v>
      </c>
      <c r="K10" s="35">
        <v>0.05</v>
      </c>
      <c r="L10" s="32">
        <v>7.0000000000000007E-2</v>
      </c>
      <c r="M10" s="34">
        <v>240</v>
      </c>
      <c r="N10" s="35">
        <v>31</v>
      </c>
      <c r="O10" s="35">
        <v>66</v>
      </c>
      <c r="P10" s="35">
        <v>140</v>
      </c>
      <c r="Q10" s="35">
        <v>55</v>
      </c>
      <c r="R10" s="35" t="s">
        <v>292</v>
      </c>
      <c r="S10" s="35">
        <v>5.2</v>
      </c>
      <c r="T10" s="35">
        <v>16</v>
      </c>
      <c r="U10" s="35">
        <v>2.2000000000000002</v>
      </c>
      <c r="V10" s="35">
        <v>7.7</v>
      </c>
      <c r="W10" s="35">
        <v>160</v>
      </c>
      <c r="X10" s="35" t="s">
        <v>260</v>
      </c>
      <c r="Y10" s="35">
        <v>5.3</v>
      </c>
      <c r="Z10" s="35">
        <v>5.3</v>
      </c>
      <c r="AA10" s="35">
        <v>27</v>
      </c>
      <c r="AB10" s="35">
        <v>1.7</v>
      </c>
      <c r="AC10" s="35" t="s">
        <v>540</v>
      </c>
      <c r="AD10" s="35" t="s">
        <v>291</v>
      </c>
      <c r="AE10" s="35">
        <v>5</v>
      </c>
      <c r="AF10" s="35" t="s">
        <v>555</v>
      </c>
      <c r="AG10" s="35" t="s">
        <v>556</v>
      </c>
      <c r="AH10" s="35" t="s">
        <v>325</v>
      </c>
      <c r="AI10" s="35" t="s">
        <v>436</v>
      </c>
      <c r="AJ10" s="35" t="s">
        <v>488</v>
      </c>
      <c r="AK10" s="35" t="s">
        <v>460</v>
      </c>
      <c r="AL10" s="33" t="s">
        <v>552</v>
      </c>
      <c r="AM10" s="33">
        <v>1</v>
      </c>
      <c r="AN10" s="33" t="s">
        <v>73</v>
      </c>
      <c r="AO10" s="33" t="s">
        <v>557</v>
      </c>
      <c r="AP10" s="35" t="s">
        <v>71</v>
      </c>
      <c r="AQ10" s="32"/>
      <c r="AR10" s="34">
        <v>0.17</v>
      </c>
      <c r="AS10" s="36">
        <v>2.6</v>
      </c>
      <c r="AT10" s="36">
        <v>1.3</v>
      </c>
      <c r="AU10" s="36">
        <v>0.85</v>
      </c>
      <c r="AV10" s="36">
        <v>1.5</v>
      </c>
      <c r="AW10" s="35">
        <v>2.8</v>
      </c>
      <c r="AX10" s="33">
        <v>0.24</v>
      </c>
      <c r="AY10" s="33">
        <v>0.01</v>
      </c>
      <c r="AZ10" s="33">
        <v>6.4</v>
      </c>
      <c r="BA10" s="33">
        <v>1.6</v>
      </c>
      <c r="BB10" s="32" t="s">
        <v>64</v>
      </c>
      <c r="BC10" s="619">
        <f t="shared" si="3"/>
        <v>1.0031249999999998</v>
      </c>
      <c r="BD10" s="610">
        <f t="shared" si="4"/>
        <v>0.96874999999999989</v>
      </c>
      <c r="BF10" s="610" t="e">
        <f t="shared" si="5"/>
        <v>#VALUE!</v>
      </c>
      <c r="BG10" s="610">
        <f t="shared" si="6"/>
        <v>2.7419354838709681E-3</v>
      </c>
      <c r="BH10" s="610">
        <f t="shared" si="7"/>
        <v>0.12708333333333333</v>
      </c>
      <c r="BI10" s="610">
        <f t="shared" si="8"/>
        <v>1.391304347826087E-2</v>
      </c>
      <c r="BJ10" s="610">
        <f t="shared" si="9"/>
        <v>0.12777777777777777</v>
      </c>
      <c r="BK10" s="610">
        <f t="shared" si="10"/>
        <v>5.1282051282051282E-3</v>
      </c>
      <c r="BL10" s="610">
        <f t="shared" si="11"/>
        <v>4.11522633744856E-3</v>
      </c>
      <c r="BM10" s="610">
        <f t="shared" si="12"/>
        <v>3.5000000000000005E-3</v>
      </c>
      <c r="BN10" s="563" t="e">
        <f t="shared" si="13"/>
        <v>#VALUE!</v>
      </c>
      <c r="BO10" s="563">
        <f t="shared" si="14"/>
        <v>154.43425272169233</v>
      </c>
      <c r="BP10" s="611" t="e">
        <f t="shared" si="15"/>
        <v>#VALUE!</v>
      </c>
      <c r="BR10" s="564">
        <f t="shared" si="16"/>
        <v>8.3874999999999993</v>
      </c>
      <c r="BS10" s="564">
        <f t="shared" si="17"/>
        <v>0.21930000000000002</v>
      </c>
      <c r="BT10" s="564">
        <f t="shared" si="18"/>
        <v>0.8</v>
      </c>
      <c r="BU10" s="564">
        <f t="shared" si="19"/>
        <v>10.240000000000002</v>
      </c>
      <c r="BV10" s="564">
        <f t="shared" si="20"/>
        <v>1.6</v>
      </c>
      <c r="BW10" s="564">
        <f t="shared" si="21"/>
        <v>0.28489000000000003</v>
      </c>
      <c r="BX10" s="564">
        <f t="shared" si="0"/>
        <v>7.6999999999999999E-2</v>
      </c>
      <c r="BY10" s="564">
        <f t="shared" si="22"/>
        <v>0.2208</v>
      </c>
      <c r="BZ10" s="564">
        <f t="shared" si="23"/>
        <v>8.683999999999999E-3</v>
      </c>
      <c r="CA10" s="564">
        <f t="shared" si="24"/>
        <v>21.838174000000006</v>
      </c>
      <c r="CB10" s="611">
        <f t="shared" si="25"/>
        <v>0.97491848214285748</v>
      </c>
      <c r="CD10" s="610">
        <f t="shared" si="26"/>
        <v>0.8</v>
      </c>
      <c r="CE10" s="610" t="e">
        <f t="shared" si="27"/>
        <v>#VALUE!</v>
      </c>
      <c r="CF10" s="610">
        <f t="shared" si="1"/>
        <v>1.2999999999999998</v>
      </c>
      <c r="CG10" s="610">
        <f t="shared" si="2"/>
        <v>0.25</v>
      </c>
    </row>
    <row r="11" spans="2:85" ht="20.149999999999999" customHeight="1" thickBot="1" x14ac:dyDescent="0.25">
      <c r="B11" s="39" t="s">
        <v>642</v>
      </c>
      <c r="C11" s="40" t="s">
        <v>632</v>
      </c>
      <c r="D11" s="41">
        <v>31.3</v>
      </c>
      <c r="E11" s="42">
        <v>0.02</v>
      </c>
      <c r="F11" s="43">
        <v>0.14000000000000001</v>
      </c>
      <c r="G11" s="43">
        <v>11</v>
      </c>
      <c r="H11" s="44">
        <v>0.33</v>
      </c>
      <c r="I11" s="43">
        <v>4.2</v>
      </c>
      <c r="J11" s="43">
        <v>0.28000000000000003</v>
      </c>
      <c r="K11" s="43">
        <v>0.05</v>
      </c>
      <c r="L11" s="45">
        <v>0.05</v>
      </c>
      <c r="M11" s="42">
        <v>260</v>
      </c>
      <c r="N11" s="43">
        <v>46</v>
      </c>
      <c r="O11" s="43">
        <v>58</v>
      </c>
      <c r="P11" s="43">
        <v>200</v>
      </c>
      <c r="Q11" s="43">
        <v>48</v>
      </c>
      <c r="R11" s="43" t="s">
        <v>292</v>
      </c>
      <c r="S11" s="43">
        <v>5.2</v>
      </c>
      <c r="T11" s="43">
        <v>19</v>
      </c>
      <c r="U11" s="43">
        <v>3.1</v>
      </c>
      <c r="V11" s="43">
        <v>8.5</v>
      </c>
      <c r="W11" s="43">
        <v>230</v>
      </c>
      <c r="X11" s="43" t="s">
        <v>260</v>
      </c>
      <c r="Y11" s="43">
        <v>5.9</v>
      </c>
      <c r="Z11" s="43">
        <v>5.4</v>
      </c>
      <c r="AA11" s="43">
        <v>35</v>
      </c>
      <c r="AB11" s="43" t="s">
        <v>559</v>
      </c>
      <c r="AC11" s="43">
        <v>1.3</v>
      </c>
      <c r="AD11" s="43" t="s">
        <v>291</v>
      </c>
      <c r="AE11" s="43">
        <v>1.8</v>
      </c>
      <c r="AF11" s="43" t="s">
        <v>555</v>
      </c>
      <c r="AG11" s="43" t="s">
        <v>556</v>
      </c>
      <c r="AH11" s="43" t="s">
        <v>325</v>
      </c>
      <c r="AI11" s="43" t="s">
        <v>436</v>
      </c>
      <c r="AJ11" s="43" t="s">
        <v>488</v>
      </c>
      <c r="AK11" s="43" t="s">
        <v>460</v>
      </c>
      <c r="AL11" s="41" t="s">
        <v>552</v>
      </c>
      <c r="AM11" s="41">
        <v>0.49</v>
      </c>
      <c r="AN11" s="41" t="s">
        <v>73</v>
      </c>
      <c r="AO11" s="41" t="s">
        <v>557</v>
      </c>
      <c r="AP11" s="43">
        <v>6.7</v>
      </c>
      <c r="AQ11" s="45"/>
      <c r="AR11" s="42">
        <v>0.2</v>
      </c>
      <c r="AS11" s="44">
        <v>2.7</v>
      </c>
      <c r="AT11" s="44">
        <v>1.1000000000000001</v>
      </c>
      <c r="AU11" s="44">
        <v>1.5</v>
      </c>
      <c r="AV11" s="44">
        <v>1.6</v>
      </c>
      <c r="AW11" s="43">
        <v>2.8</v>
      </c>
      <c r="AX11" s="41">
        <v>0.31</v>
      </c>
      <c r="AY11" s="41">
        <v>0.02</v>
      </c>
      <c r="AZ11" s="41">
        <v>7.1</v>
      </c>
      <c r="BA11" s="41">
        <v>1.5</v>
      </c>
      <c r="BB11" s="45" t="s">
        <v>64</v>
      </c>
      <c r="BC11" s="620">
        <f t="shared" si="3"/>
        <v>1</v>
      </c>
      <c r="BD11" s="617">
        <f t="shared" si="4"/>
        <v>1.0199999999999998</v>
      </c>
      <c r="BE11" s="616"/>
      <c r="BF11" s="617">
        <f t="shared" si="5"/>
        <v>5.6338028169014088E-4</v>
      </c>
      <c r="BG11" s="617">
        <f t="shared" si="6"/>
        <v>2.2580645161290325E-3</v>
      </c>
      <c r="BH11" s="617">
        <f t="shared" si="7"/>
        <v>0.22916666666666666</v>
      </c>
      <c r="BI11" s="617">
        <f t="shared" si="8"/>
        <v>1.4347826086956523E-2</v>
      </c>
      <c r="BJ11" s="617">
        <f t="shared" si="9"/>
        <v>0.23333333333333334</v>
      </c>
      <c r="BK11" s="617">
        <f t="shared" si="10"/>
        <v>7.1794871794871803E-3</v>
      </c>
      <c r="BL11" s="617">
        <f t="shared" si="11"/>
        <v>4.11522633744856E-3</v>
      </c>
      <c r="BM11" s="617">
        <f t="shared" si="12"/>
        <v>2.5000000000000001E-3</v>
      </c>
      <c r="BN11" s="621">
        <f t="shared" si="13"/>
        <v>231.98811146448583</v>
      </c>
      <c r="BO11" s="621">
        <f t="shared" si="14"/>
        <v>261.47587293722557</v>
      </c>
      <c r="BP11" s="618">
        <f t="shared" si="15"/>
        <v>0.88722568877389663</v>
      </c>
      <c r="BQ11" s="616"/>
      <c r="BR11" s="615">
        <f t="shared" si="16"/>
        <v>15.125</v>
      </c>
      <c r="BS11" s="615">
        <f t="shared" si="17"/>
        <v>0.18060000000000001</v>
      </c>
      <c r="BT11" s="615">
        <f t="shared" si="18"/>
        <v>0.82500000000000007</v>
      </c>
      <c r="BU11" s="615">
        <f t="shared" si="19"/>
        <v>11.36</v>
      </c>
      <c r="BV11" s="615">
        <f t="shared" si="20"/>
        <v>1.5</v>
      </c>
      <c r="BW11" s="615">
        <f t="shared" si="21"/>
        <v>0.42274</v>
      </c>
      <c r="BX11" s="615">
        <f t="shared" si="0"/>
        <v>6.7199999999999996E-2</v>
      </c>
      <c r="BY11" s="615">
        <f t="shared" si="22"/>
        <v>0.31740000000000002</v>
      </c>
      <c r="BZ11" s="615">
        <f t="shared" si="23"/>
        <v>8.683999999999999E-3</v>
      </c>
      <c r="CA11" s="615">
        <f t="shared" si="24"/>
        <v>29.806623999999999</v>
      </c>
      <c r="CB11" s="618">
        <f t="shared" si="25"/>
        <v>0.95228830670926512</v>
      </c>
      <c r="CC11" s="617"/>
      <c r="CD11" s="617">
        <f t="shared" si="26"/>
        <v>0.82558139534883723</v>
      </c>
      <c r="CE11" s="617" t="e">
        <f t="shared" si="27"/>
        <v>#VALUE!</v>
      </c>
      <c r="CF11" s="617">
        <f t="shared" si="1"/>
        <v>1.1999999999999997</v>
      </c>
      <c r="CG11" s="617">
        <f t="shared" si="2"/>
        <v>0.33</v>
      </c>
    </row>
    <row r="12" spans="2:85" ht="20.149999999999999" customHeight="1" x14ac:dyDescent="0.2">
      <c r="B12" s="31" t="s">
        <v>643</v>
      </c>
      <c r="C12" s="46" t="s">
        <v>633</v>
      </c>
      <c r="D12" s="47">
        <v>14</v>
      </c>
      <c r="E12" s="48">
        <v>0.02</v>
      </c>
      <c r="F12" s="49">
        <v>0.09</v>
      </c>
      <c r="G12" s="49">
        <v>4.5999999999999996</v>
      </c>
      <c r="H12" s="50">
        <v>0.51</v>
      </c>
      <c r="I12" s="49">
        <v>1.1000000000000001</v>
      </c>
      <c r="J12" s="49">
        <v>0.11</v>
      </c>
      <c r="K12" s="49">
        <v>7.0000000000000007E-2</v>
      </c>
      <c r="L12" s="37">
        <v>0.09</v>
      </c>
      <c r="M12" s="48">
        <v>400</v>
      </c>
      <c r="N12" s="49">
        <v>29</v>
      </c>
      <c r="O12" s="49">
        <v>64</v>
      </c>
      <c r="P12" s="49">
        <v>83</v>
      </c>
      <c r="Q12" s="49">
        <v>88</v>
      </c>
      <c r="R12" s="625">
        <f>0.5*0.023</f>
        <v>1.15E-2</v>
      </c>
      <c r="S12" s="49">
        <v>3.7</v>
      </c>
      <c r="T12" s="49">
        <v>9.6999999999999993</v>
      </c>
      <c r="U12" s="49">
        <v>2.2000000000000002</v>
      </c>
      <c r="V12" s="49">
        <v>5</v>
      </c>
      <c r="W12" s="49">
        <v>130</v>
      </c>
      <c r="X12" s="625">
        <f t="shared" ref="X12:X18" si="28">0.5*0.9</f>
        <v>0.45</v>
      </c>
      <c r="Y12" s="49">
        <v>3.7</v>
      </c>
      <c r="Z12" s="49">
        <v>4.0999999999999996</v>
      </c>
      <c r="AA12" s="49">
        <v>14</v>
      </c>
      <c r="AB12" s="625">
        <f>0.5*0.89</f>
        <v>0.44500000000000001</v>
      </c>
      <c r="AC12" s="625">
        <f>0.5*0.99</f>
        <v>0.495</v>
      </c>
      <c r="AD12" s="625">
        <f t="shared" ref="AD12:AD18" si="29">0.5*1.1</f>
        <v>0.55000000000000004</v>
      </c>
      <c r="AE12" s="625">
        <f t="shared" ref="AE12:AE18" si="30">0.5*1.4</f>
        <v>0.7</v>
      </c>
      <c r="AF12" s="625">
        <f t="shared" ref="AF12:AF18" si="31">0.5*6.6</f>
        <v>3.3</v>
      </c>
      <c r="AG12" s="625">
        <f t="shared" ref="AG12:AG18" si="32">0.5*9.4</f>
        <v>4.7</v>
      </c>
      <c r="AH12" s="625">
        <f t="shared" ref="AH12:AH18" si="33">0.5*10</f>
        <v>5</v>
      </c>
      <c r="AI12" s="625">
        <f t="shared" ref="AI12:AI18" si="34">0.5*12</f>
        <v>6</v>
      </c>
      <c r="AJ12" s="625">
        <f t="shared" ref="AJ12:AJ18" si="35">0.5*13</f>
        <v>6.5</v>
      </c>
      <c r="AK12" s="625">
        <f t="shared" ref="AK12:AK18" si="36">0.5*20</f>
        <v>10</v>
      </c>
      <c r="AL12" s="627">
        <f t="shared" ref="AL12:AL18" si="37">0.5*0.026</f>
        <v>1.2999999999999999E-2</v>
      </c>
      <c r="AM12" s="47">
        <v>0.17</v>
      </c>
      <c r="AN12" s="627">
        <f t="shared" ref="AN12:AN18" si="38">0.5*0.018</f>
        <v>8.9999999999999993E-3</v>
      </c>
      <c r="AO12" s="627">
        <f t="shared" ref="AO12:AO18" si="39">0.5*3.3</f>
        <v>1.65</v>
      </c>
      <c r="AP12" s="49">
        <v>6.9</v>
      </c>
      <c r="AQ12" s="37"/>
      <c r="AR12" s="48">
        <v>0.09</v>
      </c>
      <c r="AS12" s="50">
        <v>0.88</v>
      </c>
      <c r="AT12" s="50">
        <v>0.61</v>
      </c>
      <c r="AU12" s="50">
        <v>0.26</v>
      </c>
      <c r="AV12" s="50">
        <v>0.6</v>
      </c>
      <c r="AW12" s="49">
        <v>1.1000000000000001</v>
      </c>
      <c r="AX12" s="47">
        <v>0.23</v>
      </c>
      <c r="AY12" s="47">
        <v>0</v>
      </c>
      <c r="AZ12" s="47">
        <v>2.4</v>
      </c>
      <c r="BA12" s="47">
        <v>0.73</v>
      </c>
      <c r="BB12" s="37" t="s">
        <v>64</v>
      </c>
      <c r="BC12" s="619">
        <f t="shared" si="3"/>
        <v>1.0166666666666666</v>
      </c>
      <c r="BD12" s="610">
        <f t="shared" si="4"/>
        <v>1.0000000000000002</v>
      </c>
      <c r="BF12" s="610">
        <f t="shared" si="5"/>
        <v>5.6338028169014088E-4</v>
      </c>
      <c r="BG12" s="610">
        <f t="shared" si="6"/>
        <v>1.4516129032258063E-3</v>
      </c>
      <c r="BH12" s="610">
        <f t="shared" si="7"/>
        <v>9.5833333333333326E-2</v>
      </c>
      <c r="BI12" s="610">
        <f t="shared" si="8"/>
        <v>2.2173913043478263E-2</v>
      </c>
      <c r="BJ12" s="610">
        <f t="shared" si="9"/>
        <v>6.1111111111111116E-2</v>
      </c>
      <c r="BK12" s="610">
        <f t="shared" si="10"/>
        <v>2.8205128205128207E-3</v>
      </c>
      <c r="BL12" s="610">
        <f t="shared" si="11"/>
        <v>5.7613168724279839E-3</v>
      </c>
      <c r="BM12" s="610">
        <f t="shared" si="12"/>
        <v>4.4999999999999997E-3</v>
      </c>
      <c r="BN12" s="563">
        <f t="shared" si="13"/>
        <v>97.84832651824928</v>
      </c>
      <c r="BO12" s="563">
        <f t="shared" si="14"/>
        <v>96.366853847530194</v>
      </c>
      <c r="BP12" s="611">
        <f t="shared" si="15"/>
        <v>1.0153732597005092</v>
      </c>
      <c r="BR12" s="564">
        <f t="shared" si="16"/>
        <v>6.3249999999999993</v>
      </c>
      <c r="BS12" s="564">
        <f t="shared" si="17"/>
        <v>0.11609999999999999</v>
      </c>
      <c r="BT12" s="564">
        <f t="shared" si="18"/>
        <v>1.2749999999999999</v>
      </c>
      <c r="BU12" s="564">
        <f t="shared" si="19"/>
        <v>3.84</v>
      </c>
      <c r="BV12" s="564">
        <f t="shared" si="20"/>
        <v>0.73</v>
      </c>
      <c r="BW12" s="564">
        <f t="shared" si="21"/>
        <v>0.26651000000000002</v>
      </c>
      <c r="BX12" s="564">
        <f t="shared" si="0"/>
        <v>0.12319999999999999</v>
      </c>
      <c r="BY12" s="564">
        <f t="shared" si="22"/>
        <v>0.1794</v>
      </c>
      <c r="BZ12" s="564">
        <f t="shared" si="23"/>
        <v>6.1789999999999996E-3</v>
      </c>
      <c r="CA12" s="564">
        <f t="shared" si="24"/>
        <v>12.861388999999999</v>
      </c>
      <c r="CB12" s="611">
        <f t="shared" si="25"/>
        <v>0.91867064285714284</v>
      </c>
      <c r="CC12" s="610"/>
      <c r="CD12" s="610">
        <f t="shared" si="26"/>
        <v>0.76677316293929709</v>
      </c>
      <c r="CE12" s="610" t="e">
        <f t="shared" si="27"/>
        <v>#VALUE!</v>
      </c>
      <c r="CF12" s="610">
        <f t="shared" si="1"/>
        <v>0.50000000000000011</v>
      </c>
      <c r="CG12" s="610">
        <f t="shared" si="2"/>
        <v>0.23</v>
      </c>
    </row>
    <row r="13" spans="2:85" ht="20.149999999999999" customHeight="1" x14ac:dyDescent="0.2">
      <c r="B13" s="31" t="s">
        <v>643</v>
      </c>
      <c r="C13" s="40" t="s">
        <v>634</v>
      </c>
      <c r="D13" s="33">
        <v>26.2</v>
      </c>
      <c r="E13" s="34">
        <v>0.01</v>
      </c>
      <c r="F13" s="35">
        <v>0.1</v>
      </c>
      <c r="G13" s="35">
        <v>11</v>
      </c>
      <c r="H13" s="36">
        <v>0.4</v>
      </c>
      <c r="I13" s="35">
        <v>4</v>
      </c>
      <c r="J13" s="35">
        <v>0.16</v>
      </c>
      <c r="K13" s="35">
        <v>0.05</v>
      </c>
      <c r="L13" s="32">
        <v>0.14000000000000001</v>
      </c>
      <c r="M13" s="34">
        <v>320</v>
      </c>
      <c r="N13" s="35">
        <v>49</v>
      </c>
      <c r="O13" s="35">
        <v>110</v>
      </c>
      <c r="P13" s="35">
        <v>100</v>
      </c>
      <c r="Q13" s="35">
        <v>130</v>
      </c>
      <c r="R13" s="624">
        <f>0.5*0.023</f>
        <v>1.15E-2</v>
      </c>
      <c r="S13" s="35">
        <v>4.5999999999999996</v>
      </c>
      <c r="T13" s="35">
        <v>45</v>
      </c>
      <c r="U13" s="35">
        <v>1.8</v>
      </c>
      <c r="V13" s="35">
        <v>9.6999999999999993</v>
      </c>
      <c r="W13" s="35">
        <v>240</v>
      </c>
      <c r="X13" s="624">
        <f t="shared" si="28"/>
        <v>0.45</v>
      </c>
      <c r="Y13" s="35">
        <v>12</v>
      </c>
      <c r="Z13" s="35">
        <v>4.3</v>
      </c>
      <c r="AA13" s="35">
        <v>32</v>
      </c>
      <c r="AB13" s="624">
        <f>0.5*0.89</f>
        <v>0.44500000000000001</v>
      </c>
      <c r="AC13" s="624">
        <f>0.5*0.99</f>
        <v>0.495</v>
      </c>
      <c r="AD13" s="624">
        <f t="shared" si="29"/>
        <v>0.55000000000000004</v>
      </c>
      <c r="AE13" s="624">
        <f t="shared" si="30"/>
        <v>0.7</v>
      </c>
      <c r="AF13" s="624">
        <f t="shared" si="31"/>
        <v>3.3</v>
      </c>
      <c r="AG13" s="624">
        <f t="shared" si="32"/>
        <v>4.7</v>
      </c>
      <c r="AH13" s="624">
        <f t="shared" si="33"/>
        <v>5</v>
      </c>
      <c r="AI13" s="624">
        <f t="shared" si="34"/>
        <v>6</v>
      </c>
      <c r="AJ13" s="624">
        <f t="shared" si="35"/>
        <v>6.5</v>
      </c>
      <c r="AK13" s="624">
        <f t="shared" si="36"/>
        <v>10</v>
      </c>
      <c r="AL13" s="628">
        <f t="shared" si="37"/>
        <v>1.2999999999999999E-2</v>
      </c>
      <c r="AM13" s="33">
        <v>0.59</v>
      </c>
      <c r="AN13" s="628">
        <f t="shared" si="38"/>
        <v>8.9999999999999993E-3</v>
      </c>
      <c r="AO13" s="628">
        <f t="shared" si="39"/>
        <v>1.65</v>
      </c>
      <c r="AP13" s="35">
        <v>7.1</v>
      </c>
      <c r="AQ13" s="32"/>
      <c r="AR13" s="34">
        <v>0.14000000000000001</v>
      </c>
      <c r="AS13" s="36">
        <v>1.5</v>
      </c>
      <c r="AT13" s="36">
        <v>0.62</v>
      </c>
      <c r="AU13" s="36">
        <v>0.56999999999999995</v>
      </c>
      <c r="AV13" s="36">
        <v>1.1000000000000001</v>
      </c>
      <c r="AW13" s="35">
        <v>2.5</v>
      </c>
      <c r="AX13" s="33">
        <v>0.33</v>
      </c>
      <c r="AY13" s="33">
        <v>0.01</v>
      </c>
      <c r="AZ13" s="33">
        <v>3.9</v>
      </c>
      <c r="BA13" s="33">
        <v>1.7</v>
      </c>
      <c r="BB13" s="32" t="s">
        <v>64</v>
      </c>
      <c r="BC13" s="619">
        <f t="shared" si="3"/>
        <v>1.0076923076923077</v>
      </c>
      <c r="BD13" s="610">
        <f t="shared" si="4"/>
        <v>1.0235294117647058</v>
      </c>
      <c r="BF13" s="610">
        <f t="shared" si="5"/>
        <v>2.8169014084507044E-4</v>
      </c>
      <c r="BG13" s="610">
        <f t="shared" si="6"/>
        <v>1.6129032258064516E-3</v>
      </c>
      <c r="BH13" s="610">
        <f t="shared" si="7"/>
        <v>0.22916666666666666</v>
      </c>
      <c r="BI13" s="610">
        <f t="shared" si="8"/>
        <v>1.7391304347826087E-2</v>
      </c>
      <c r="BJ13" s="610">
        <f t="shared" si="9"/>
        <v>0.22222222222222221</v>
      </c>
      <c r="BK13" s="610">
        <f t="shared" si="10"/>
        <v>4.1025641025641026E-3</v>
      </c>
      <c r="BL13" s="610">
        <f t="shared" si="11"/>
        <v>4.11522633744856E-3</v>
      </c>
      <c r="BM13" s="610">
        <f t="shared" si="12"/>
        <v>7.000000000000001E-3</v>
      </c>
      <c r="BN13" s="563">
        <f t="shared" si="13"/>
        <v>231.06126003331818</v>
      </c>
      <c r="BO13" s="563">
        <f t="shared" si="14"/>
        <v>254.83131701006096</v>
      </c>
      <c r="BP13" s="611">
        <f t="shared" si="15"/>
        <v>0.90672238696704488</v>
      </c>
      <c r="BR13" s="564">
        <f t="shared" si="16"/>
        <v>15.125</v>
      </c>
      <c r="BS13" s="564">
        <f t="shared" si="17"/>
        <v>0.129</v>
      </c>
      <c r="BT13" s="564">
        <f t="shared" si="18"/>
        <v>1</v>
      </c>
      <c r="BU13" s="564">
        <f t="shared" si="19"/>
        <v>6.24</v>
      </c>
      <c r="BV13" s="564">
        <f t="shared" si="20"/>
        <v>1.7</v>
      </c>
      <c r="BW13" s="564">
        <f t="shared" si="21"/>
        <v>0.45030999999999999</v>
      </c>
      <c r="BX13" s="564">
        <f t="shared" si="0"/>
        <v>0.182</v>
      </c>
      <c r="BY13" s="564">
        <f t="shared" si="22"/>
        <v>0.33119999999999994</v>
      </c>
      <c r="BZ13" s="564">
        <f t="shared" si="23"/>
        <v>7.6819999999999996E-3</v>
      </c>
      <c r="CA13" s="564">
        <f t="shared" si="24"/>
        <v>25.165191999999994</v>
      </c>
      <c r="CB13" s="611">
        <f t="shared" si="25"/>
        <v>0.96050351145038149</v>
      </c>
      <c r="CC13" s="610"/>
      <c r="CD13" s="610">
        <f t="shared" si="26"/>
        <v>0.69642857142857151</v>
      </c>
      <c r="CE13" s="610" t="e">
        <f t="shared" si="27"/>
        <v>#VALUE!</v>
      </c>
      <c r="CF13" s="610">
        <f t="shared" ref="CF13:CF20" si="40">IF(AW13-AV13&gt;0,AW13-AV13,0)</f>
        <v>1.4</v>
      </c>
      <c r="CG13" s="610">
        <f t="shared" ref="CG13:CG20" si="41">IF(AW13-AV13&gt;0,AX13+AY13,AW13+AX13+AY13-AV13)</f>
        <v>0.34</v>
      </c>
    </row>
    <row r="14" spans="2:85" ht="20.149999999999999" customHeight="1" x14ac:dyDescent="0.2">
      <c r="B14" s="31" t="s">
        <v>643</v>
      </c>
      <c r="C14" s="32" t="s">
        <v>635</v>
      </c>
      <c r="D14" s="33">
        <v>19.8</v>
      </c>
      <c r="E14" s="623">
        <f>0.5*0.01</f>
        <v>5.0000000000000001E-3</v>
      </c>
      <c r="F14" s="35">
        <v>0.05</v>
      </c>
      <c r="G14" s="35">
        <v>9.3000000000000007</v>
      </c>
      <c r="H14" s="36">
        <v>0.27</v>
      </c>
      <c r="I14" s="35">
        <v>3.5</v>
      </c>
      <c r="J14" s="35">
        <v>0.12</v>
      </c>
      <c r="K14" s="35">
        <v>0.04</v>
      </c>
      <c r="L14" s="32">
        <v>0.08</v>
      </c>
      <c r="M14" s="34">
        <v>190</v>
      </c>
      <c r="N14" s="35">
        <v>27</v>
      </c>
      <c r="O14" s="35">
        <v>73</v>
      </c>
      <c r="P14" s="35">
        <v>68</v>
      </c>
      <c r="Q14" s="35">
        <v>61</v>
      </c>
      <c r="R14" s="624">
        <f>0.5*0.023</f>
        <v>1.15E-2</v>
      </c>
      <c r="S14" s="35">
        <v>3.2</v>
      </c>
      <c r="T14" s="35">
        <v>13</v>
      </c>
      <c r="U14" s="35">
        <v>0.85</v>
      </c>
      <c r="V14" s="35">
        <v>4.5999999999999996</v>
      </c>
      <c r="W14" s="35">
        <v>110</v>
      </c>
      <c r="X14" s="624">
        <f t="shared" si="28"/>
        <v>0.45</v>
      </c>
      <c r="Y14" s="35">
        <v>3.4</v>
      </c>
      <c r="Z14" s="35">
        <v>1.6</v>
      </c>
      <c r="AA14" s="35">
        <v>16</v>
      </c>
      <c r="AB14" s="624">
        <f>0.5*0.89</f>
        <v>0.44500000000000001</v>
      </c>
      <c r="AC14" s="624">
        <f>0.5*0.99</f>
        <v>0.495</v>
      </c>
      <c r="AD14" s="624">
        <f t="shared" si="29"/>
        <v>0.55000000000000004</v>
      </c>
      <c r="AE14" s="624">
        <f t="shared" si="30"/>
        <v>0.7</v>
      </c>
      <c r="AF14" s="624">
        <f t="shared" si="31"/>
        <v>3.3</v>
      </c>
      <c r="AG14" s="624">
        <f t="shared" si="32"/>
        <v>4.7</v>
      </c>
      <c r="AH14" s="624">
        <f t="shared" si="33"/>
        <v>5</v>
      </c>
      <c r="AI14" s="624">
        <f t="shared" si="34"/>
        <v>6</v>
      </c>
      <c r="AJ14" s="624">
        <f t="shared" si="35"/>
        <v>6.5</v>
      </c>
      <c r="AK14" s="624">
        <f t="shared" si="36"/>
        <v>10</v>
      </c>
      <c r="AL14" s="628">
        <f t="shared" si="37"/>
        <v>1.2999999999999999E-2</v>
      </c>
      <c r="AM14" s="33">
        <v>0.16</v>
      </c>
      <c r="AN14" s="628">
        <f t="shared" si="38"/>
        <v>8.9999999999999993E-3</v>
      </c>
      <c r="AO14" s="628">
        <f t="shared" si="39"/>
        <v>1.65</v>
      </c>
      <c r="AP14" s="35">
        <v>4.2</v>
      </c>
      <c r="AQ14" s="32"/>
      <c r="AR14" s="34">
        <v>7.0000000000000007E-2</v>
      </c>
      <c r="AS14" s="36">
        <v>0.9</v>
      </c>
      <c r="AT14" s="36">
        <v>0.37</v>
      </c>
      <c r="AU14" s="36">
        <v>0.26</v>
      </c>
      <c r="AV14" s="36">
        <v>0.68</v>
      </c>
      <c r="AW14" s="35">
        <v>1.3</v>
      </c>
      <c r="AX14" s="33">
        <v>0.34</v>
      </c>
      <c r="AY14" s="33">
        <v>0.01</v>
      </c>
      <c r="AZ14" s="33">
        <v>2.2999999999999998</v>
      </c>
      <c r="BA14" s="33">
        <v>0.97</v>
      </c>
      <c r="BB14" s="32" t="s">
        <v>64</v>
      </c>
      <c r="BC14" s="619">
        <f t="shared" si="3"/>
        <v>0.9913043478260869</v>
      </c>
      <c r="BD14" s="610">
        <f t="shared" si="4"/>
        <v>1.0000000000000002</v>
      </c>
      <c r="BF14" s="610">
        <f t="shared" si="5"/>
        <v>1.4084507042253522E-4</v>
      </c>
      <c r="BG14" s="610">
        <f t="shared" si="6"/>
        <v>8.0645161290322581E-4</v>
      </c>
      <c r="BH14" s="610">
        <f t="shared" si="7"/>
        <v>0.19375000000000001</v>
      </c>
      <c r="BI14" s="610">
        <f t="shared" si="8"/>
        <v>1.173913043478261E-2</v>
      </c>
      <c r="BJ14" s="610">
        <f t="shared" si="9"/>
        <v>0.19444444444444445</v>
      </c>
      <c r="BK14" s="610">
        <f t="shared" si="10"/>
        <v>3.0769230769230769E-3</v>
      </c>
      <c r="BL14" s="610">
        <f t="shared" si="11"/>
        <v>3.2921810699588477E-3</v>
      </c>
      <c r="BM14" s="610">
        <f t="shared" si="12"/>
        <v>4.0000000000000001E-3</v>
      </c>
      <c r="BN14" s="563">
        <f t="shared" si="13"/>
        <v>194.69729668332579</v>
      </c>
      <c r="BO14" s="563">
        <f t="shared" si="14"/>
        <v>216.55267902610899</v>
      </c>
      <c r="BP14" s="611">
        <f t="shared" si="15"/>
        <v>0.89907590873005006</v>
      </c>
      <c r="BR14" s="564">
        <f t="shared" si="16"/>
        <v>12.787500000000001</v>
      </c>
      <c r="BS14" s="564">
        <f t="shared" si="17"/>
        <v>6.4500000000000002E-2</v>
      </c>
      <c r="BT14" s="564">
        <f t="shared" si="18"/>
        <v>0.67500000000000004</v>
      </c>
      <c r="BU14" s="564">
        <f t="shared" si="19"/>
        <v>3.6799999999999997</v>
      </c>
      <c r="BV14" s="564">
        <f t="shared" si="20"/>
        <v>0.97</v>
      </c>
      <c r="BW14" s="564">
        <f t="shared" si="21"/>
        <v>0.24813000000000002</v>
      </c>
      <c r="BX14" s="564">
        <f t="shared" si="0"/>
        <v>8.539999999999999E-2</v>
      </c>
      <c r="BY14" s="564">
        <f t="shared" si="22"/>
        <v>0.15179999999999999</v>
      </c>
      <c r="BZ14" s="564">
        <f t="shared" si="23"/>
        <v>5.3439999999999998E-3</v>
      </c>
      <c r="CA14" s="564">
        <f t="shared" si="24"/>
        <v>18.667674000000002</v>
      </c>
      <c r="CB14" s="611">
        <f t="shared" si="25"/>
        <v>0.94281181818181825</v>
      </c>
      <c r="CC14" s="610"/>
      <c r="CD14" s="610">
        <f t="shared" si="26"/>
        <v>0.70336391437308876</v>
      </c>
      <c r="CE14" s="610" t="e">
        <f t="shared" si="27"/>
        <v>#VALUE!</v>
      </c>
      <c r="CF14" s="610">
        <f t="shared" si="40"/>
        <v>0.62</v>
      </c>
      <c r="CG14" s="610">
        <f t="shared" si="41"/>
        <v>0.35000000000000003</v>
      </c>
    </row>
    <row r="15" spans="2:85" ht="20.149999999999999" customHeight="1" x14ac:dyDescent="0.2">
      <c r="B15" s="31" t="s">
        <v>643</v>
      </c>
      <c r="C15" s="32" t="s">
        <v>636</v>
      </c>
      <c r="D15" s="33">
        <v>25.4</v>
      </c>
      <c r="E15" s="34">
        <v>0.01</v>
      </c>
      <c r="F15" s="35">
        <v>7.0000000000000007E-2</v>
      </c>
      <c r="G15" s="35">
        <v>13</v>
      </c>
      <c r="H15" s="36">
        <v>0.2</v>
      </c>
      <c r="I15" s="35">
        <v>4.9000000000000004</v>
      </c>
      <c r="J15" s="35">
        <v>0.14000000000000001</v>
      </c>
      <c r="K15" s="35">
        <v>0.03</v>
      </c>
      <c r="L15" s="32">
        <v>0.1</v>
      </c>
      <c r="M15" s="34">
        <v>150</v>
      </c>
      <c r="N15" s="35">
        <v>41</v>
      </c>
      <c r="O15" s="35">
        <v>86</v>
      </c>
      <c r="P15" s="35">
        <v>75</v>
      </c>
      <c r="Q15" s="35">
        <v>88</v>
      </c>
      <c r="R15" s="624">
        <f>0.5*0.023</f>
        <v>1.15E-2</v>
      </c>
      <c r="S15" s="35">
        <v>4</v>
      </c>
      <c r="T15" s="35">
        <v>19</v>
      </c>
      <c r="U15" s="35">
        <v>2.5</v>
      </c>
      <c r="V15" s="35">
        <v>7.2</v>
      </c>
      <c r="W15" s="35">
        <v>190</v>
      </c>
      <c r="X15" s="624">
        <f t="shared" si="28"/>
        <v>0.45</v>
      </c>
      <c r="Y15" s="35">
        <v>6.6</v>
      </c>
      <c r="Z15" s="35">
        <v>2.5</v>
      </c>
      <c r="AA15" s="35">
        <v>26</v>
      </c>
      <c r="AB15" s="624">
        <f>0.5*0.89</f>
        <v>0.44500000000000001</v>
      </c>
      <c r="AC15" s="35">
        <v>1</v>
      </c>
      <c r="AD15" s="624">
        <f t="shared" si="29"/>
        <v>0.55000000000000004</v>
      </c>
      <c r="AE15" s="624">
        <f t="shared" si="30"/>
        <v>0.7</v>
      </c>
      <c r="AF15" s="624">
        <f t="shared" si="31"/>
        <v>3.3</v>
      </c>
      <c r="AG15" s="624">
        <f t="shared" si="32"/>
        <v>4.7</v>
      </c>
      <c r="AH15" s="624">
        <f t="shared" si="33"/>
        <v>5</v>
      </c>
      <c r="AI15" s="624">
        <f t="shared" si="34"/>
        <v>6</v>
      </c>
      <c r="AJ15" s="624">
        <f t="shared" si="35"/>
        <v>6.5</v>
      </c>
      <c r="AK15" s="624">
        <f t="shared" si="36"/>
        <v>10</v>
      </c>
      <c r="AL15" s="628">
        <f t="shared" si="37"/>
        <v>1.2999999999999999E-2</v>
      </c>
      <c r="AM15" s="33">
        <v>0.22</v>
      </c>
      <c r="AN15" s="628">
        <f t="shared" si="38"/>
        <v>8.9999999999999993E-3</v>
      </c>
      <c r="AO15" s="628">
        <f t="shared" si="39"/>
        <v>1.65</v>
      </c>
      <c r="AP15" s="35">
        <v>6.1</v>
      </c>
      <c r="AQ15" s="32"/>
      <c r="AR15" s="34">
        <v>0.09</v>
      </c>
      <c r="AS15" s="36">
        <v>0.9</v>
      </c>
      <c r="AT15" s="36">
        <v>0.33</v>
      </c>
      <c r="AU15" s="36">
        <v>0.3</v>
      </c>
      <c r="AV15" s="36">
        <v>0.72</v>
      </c>
      <c r="AW15" s="35">
        <v>1.4</v>
      </c>
      <c r="AX15" s="33">
        <v>0.34</v>
      </c>
      <c r="AY15" s="33">
        <v>0.01</v>
      </c>
      <c r="AZ15" s="33">
        <v>2.2999999999999998</v>
      </c>
      <c r="BA15" s="33">
        <v>1</v>
      </c>
      <c r="BB15" s="32" t="s">
        <v>64</v>
      </c>
      <c r="BC15" s="619">
        <f t="shared" si="3"/>
        <v>1.0173913043478262</v>
      </c>
      <c r="BD15" s="610">
        <f t="shared" si="4"/>
        <v>1.03</v>
      </c>
      <c r="BF15" s="610">
        <f t="shared" si="5"/>
        <v>2.8169014084507044E-4</v>
      </c>
      <c r="BG15" s="610">
        <f t="shared" si="6"/>
        <v>1.1290322580645162E-3</v>
      </c>
      <c r="BH15" s="610">
        <f t="shared" si="7"/>
        <v>0.27083333333333331</v>
      </c>
      <c r="BI15" s="610">
        <f t="shared" si="8"/>
        <v>8.6956521739130436E-3</v>
      </c>
      <c r="BJ15" s="610">
        <f t="shared" si="9"/>
        <v>0.27222222222222225</v>
      </c>
      <c r="BK15" s="610">
        <f t="shared" si="10"/>
        <v>3.5897435897435902E-3</v>
      </c>
      <c r="BL15" s="610">
        <f t="shared" si="11"/>
        <v>2.4691358024691358E-3</v>
      </c>
      <c r="BM15" s="610">
        <f t="shared" si="12"/>
        <v>5.0000000000000001E-3</v>
      </c>
      <c r="BN15" s="563">
        <f t="shared" si="13"/>
        <v>272.24405573224294</v>
      </c>
      <c r="BO15" s="563">
        <f t="shared" si="14"/>
        <v>291.97675378834805</v>
      </c>
      <c r="BP15" s="611">
        <f t="shared" si="15"/>
        <v>0.93241688661827782</v>
      </c>
      <c r="BR15" s="564">
        <f t="shared" si="16"/>
        <v>17.875</v>
      </c>
      <c r="BS15" s="564">
        <f t="shared" si="17"/>
        <v>9.0300000000000005E-2</v>
      </c>
      <c r="BT15" s="564">
        <f t="shared" si="18"/>
        <v>0.5</v>
      </c>
      <c r="BU15" s="564">
        <f t="shared" si="19"/>
        <v>3.6799999999999997</v>
      </c>
      <c r="BV15" s="564">
        <f t="shared" si="20"/>
        <v>1</v>
      </c>
      <c r="BW15" s="564">
        <f t="shared" si="21"/>
        <v>0.37679000000000001</v>
      </c>
      <c r="BX15" s="564">
        <f t="shared" si="0"/>
        <v>0.12319999999999999</v>
      </c>
      <c r="BY15" s="564">
        <f t="shared" si="22"/>
        <v>0.26219999999999999</v>
      </c>
      <c r="BZ15" s="564">
        <f t="shared" si="23"/>
        <v>6.6800000000000002E-3</v>
      </c>
      <c r="CA15" s="564">
        <f t="shared" si="24"/>
        <v>23.914169999999999</v>
      </c>
      <c r="CB15" s="611">
        <f t="shared" si="25"/>
        <v>0.9415027559055118</v>
      </c>
      <c r="CC15" s="610"/>
      <c r="CD15" s="610">
        <f t="shared" si="26"/>
        <v>0.69696969696969691</v>
      </c>
      <c r="CE15" s="610" t="e">
        <f t="shared" si="27"/>
        <v>#VALUE!</v>
      </c>
      <c r="CF15" s="610">
        <f t="shared" si="40"/>
        <v>0.67999999999999994</v>
      </c>
      <c r="CG15" s="610">
        <f t="shared" si="41"/>
        <v>0.35000000000000003</v>
      </c>
    </row>
    <row r="16" spans="2:85" ht="20.149999999999999" customHeight="1" x14ac:dyDescent="0.2">
      <c r="B16" s="31" t="s">
        <v>643</v>
      </c>
      <c r="C16" s="32" t="s">
        <v>637</v>
      </c>
      <c r="D16" s="33">
        <v>33.799999999999997</v>
      </c>
      <c r="E16" s="623">
        <f>0.5*0.01</f>
        <v>5.0000000000000001E-3</v>
      </c>
      <c r="F16" s="35">
        <v>0.03</v>
      </c>
      <c r="G16" s="35">
        <v>18</v>
      </c>
      <c r="H16" s="36">
        <v>0.15</v>
      </c>
      <c r="I16" s="35">
        <v>6</v>
      </c>
      <c r="J16" s="35">
        <v>0.2</v>
      </c>
      <c r="K16" s="35">
        <v>0.03</v>
      </c>
      <c r="L16" s="32">
        <v>0.2</v>
      </c>
      <c r="M16" s="34">
        <v>110</v>
      </c>
      <c r="N16" s="35">
        <v>59</v>
      </c>
      <c r="O16" s="35">
        <v>170</v>
      </c>
      <c r="P16" s="35">
        <v>110</v>
      </c>
      <c r="Q16" s="35">
        <v>180</v>
      </c>
      <c r="R16" s="624">
        <f>0.5*0.023</f>
        <v>1.15E-2</v>
      </c>
      <c r="S16" s="35">
        <v>7.4</v>
      </c>
      <c r="T16" s="35">
        <v>30</v>
      </c>
      <c r="U16" s="35">
        <v>2.2999999999999998</v>
      </c>
      <c r="V16" s="35">
        <v>9.1999999999999993</v>
      </c>
      <c r="W16" s="35">
        <v>160</v>
      </c>
      <c r="X16" s="624">
        <f t="shared" si="28"/>
        <v>0.45</v>
      </c>
      <c r="Y16" s="35">
        <v>9.3000000000000007</v>
      </c>
      <c r="Z16" s="35">
        <v>4.2</v>
      </c>
      <c r="AA16" s="35">
        <v>37</v>
      </c>
      <c r="AB16" s="35">
        <v>2.2000000000000002</v>
      </c>
      <c r="AC16" s="35">
        <v>1.7</v>
      </c>
      <c r="AD16" s="624">
        <f t="shared" si="29"/>
        <v>0.55000000000000004</v>
      </c>
      <c r="AE16" s="624">
        <f t="shared" si="30"/>
        <v>0.7</v>
      </c>
      <c r="AF16" s="624">
        <f t="shared" si="31"/>
        <v>3.3</v>
      </c>
      <c r="AG16" s="624">
        <f t="shared" si="32"/>
        <v>4.7</v>
      </c>
      <c r="AH16" s="624">
        <f t="shared" si="33"/>
        <v>5</v>
      </c>
      <c r="AI16" s="624">
        <f t="shared" si="34"/>
        <v>6</v>
      </c>
      <c r="AJ16" s="624">
        <f t="shared" si="35"/>
        <v>6.5</v>
      </c>
      <c r="AK16" s="624">
        <f t="shared" si="36"/>
        <v>10</v>
      </c>
      <c r="AL16" s="628">
        <f t="shared" si="37"/>
        <v>1.2999999999999999E-2</v>
      </c>
      <c r="AM16" s="33">
        <v>0.46</v>
      </c>
      <c r="AN16" s="628">
        <f t="shared" si="38"/>
        <v>8.9999999999999993E-3</v>
      </c>
      <c r="AO16" s="628">
        <f t="shared" si="39"/>
        <v>1.65</v>
      </c>
      <c r="AP16" s="35">
        <v>8.6999999999999993</v>
      </c>
      <c r="AQ16" s="32"/>
      <c r="AR16" s="34">
        <v>0.02</v>
      </c>
      <c r="AS16" s="36">
        <v>1.1000000000000001</v>
      </c>
      <c r="AT16" s="36">
        <v>0.32</v>
      </c>
      <c r="AU16" s="36">
        <v>0.34</v>
      </c>
      <c r="AV16" s="36">
        <v>0.62</v>
      </c>
      <c r="AW16" s="35">
        <v>1.6</v>
      </c>
      <c r="AX16" s="33">
        <v>0.34</v>
      </c>
      <c r="AY16" s="33">
        <v>0</v>
      </c>
      <c r="AZ16" s="33">
        <v>2.4</v>
      </c>
      <c r="BA16" s="33">
        <v>1.3</v>
      </c>
      <c r="BB16" s="32" t="s">
        <v>64</v>
      </c>
      <c r="BC16" s="619">
        <f t="shared" si="3"/>
        <v>1.0000000000000002</v>
      </c>
      <c r="BD16" s="610">
        <f t="shared" si="4"/>
        <v>1.0153846153846156</v>
      </c>
      <c r="BF16" s="610">
        <f t="shared" si="5"/>
        <v>1.4084507042253522E-4</v>
      </c>
      <c r="BG16" s="610">
        <f t="shared" si="6"/>
        <v>4.8387096774193548E-4</v>
      </c>
      <c r="BH16" s="610">
        <f t="shared" si="7"/>
        <v>0.375</v>
      </c>
      <c r="BI16" s="610">
        <f t="shared" si="8"/>
        <v>6.5217391304347823E-3</v>
      </c>
      <c r="BJ16" s="610">
        <f t="shared" si="9"/>
        <v>0.33333333333333331</v>
      </c>
      <c r="BK16" s="610">
        <f t="shared" si="10"/>
        <v>5.1282051282051282E-3</v>
      </c>
      <c r="BL16" s="610">
        <f t="shared" si="11"/>
        <v>2.4691358024691358E-3</v>
      </c>
      <c r="BM16" s="610">
        <f t="shared" si="12"/>
        <v>0.01</v>
      </c>
      <c r="BN16" s="563">
        <f t="shared" si="13"/>
        <v>375.62471603816448</v>
      </c>
      <c r="BO16" s="563">
        <f t="shared" si="14"/>
        <v>357.45241339444237</v>
      </c>
      <c r="BP16" s="611">
        <f t="shared" si="15"/>
        <v>1.0508383828525709</v>
      </c>
      <c r="BR16" s="564">
        <f t="shared" si="16"/>
        <v>24.75</v>
      </c>
      <c r="BS16" s="564">
        <f t="shared" si="17"/>
        <v>3.8699999999999998E-2</v>
      </c>
      <c r="BT16" s="564">
        <f t="shared" si="18"/>
        <v>0.375</v>
      </c>
      <c r="BU16" s="564">
        <f t="shared" si="19"/>
        <v>3.84</v>
      </c>
      <c r="BV16" s="564">
        <f t="shared" si="20"/>
        <v>1.3</v>
      </c>
      <c r="BW16" s="564">
        <f t="shared" si="21"/>
        <v>0.54220999999999997</v>
      </c>
      <c r="BX16" s="564">
        <f t="shared" si="0"/>
        <v>0.252</v>
      </c>
      <c r="BY16" s="564">
        <f t="shared" si="22"/>
        <v>0.2208</v>
      </c>
      <c r="BZ16" s="564">
        <f t="shared" si="23"/>
        <v>1.2357999999999999E-2</v>
      </c>
      <c r="CA16" s="564">
        <f t="shared" si="24"/>
        <v>31.331067999999998</v>
      </c>
      <c r="CB16" s="611">
        <f t="shared" si="25"/>
        <v>0.92695467455621305</v>
      </c>
      <c r="CC16" s="610"/>
      <c r="CD16" s="610">
        <f t="shared" si="26"/>
        <v>0.64864864864864857</v>
      </c>
      <c r="CE16" s="610" t="e">
        <f t="shared" si="27"/>
        <v>#VALUE!</v>
      </c>
      <c r="CF16" s="610">
        <f t="shared" si="40"/>
        <v>0.98000000000000009</v>
      </c>
      <c r="CG16" s="610">
        <f t="shared" si="41"/>
        <v>0.34</v>
      </c>
    </row>
    <row r="17" spans="2:85" ht="20.149999999999999" customHeight="1" x14ac:dyDescent="0.2">
      <c r="B17" s="31" t="s">
        <v>643</v>
      </c>
      <c r="C17" s="32" t="s">
        <v>638</v>
      </c>
      <c r="D17" s="33">
        <v>35.5</v>
      </c>
      <c r="E17" s="34">
        <v>0.01</v>
      </c>
      <c r="F17" s="35">
        <v>0.04</v>
      </c>
      <c r="G17" s="35">
        <v>18</v>
      </c>
      <c r="H17" s="36">
        <v>0.18</v>
      </c>
      <c r="I17" s="35">
        <v>6.7</v>
      </c>
      <c r="J17" s="35">
        <v>0.26</v>
      </c>
      <c r="K17" s="35">
        <v>0.03</v>
      </c>
      <c r="L17" s="32">
        <v>0.19</v>
      </c>
      <c r="M17" s="34">
        <v>140</v>
      </c>
      <c r="N17" s="35">
        <v>82</v>
      </c>
      <c r="O17" s="35">
        <v>200</v>
      </c>
      <c r="P17" s="35">
        <v>180</v>
      </c>
      <c r="Q17" s="35">
        <v>180</v>
      </c>
      <c r="R17" s="35">
        <v>2.4E-2</v>
      </c>
      <c r="S17" s="35">
        <v>8.4</v>
      </c>
      <c r="T17" s="35">
        <v>29</v>
      </c>
      <c r="U17" s="35">
        <v>3.5</v>
      </c>
      <c r="V17" s="35">
        <v>10</v>
      </c>
      <c r="W17" s="35">
        <v>210</v>
      </c>
      <c r="X17" s="624">
        <f t="shared" si="28"/>
        <v>0.45</v>
      </c>
      <c r="Y17" s="35">
        <v>9.3000000000000007</v>
      </c>
      <c r="Z17" s="35">
        <v>6.7</v>
      </c>
      <c r="AA17" s="35">
        <v>47</v>
      </c>
      <c r="AB17" s="35">
        <v>2</v>
      </c>
      <c r="AC17" s="35">
        <v>1.6</v>
      </c>
      <c r="AD17" s="624">
        <f t="shared" si="29"/>
        <v>0.55000000000000004</v>
      </c>
      <c r="AE17" s="624">
        <f t="shared" si="30"/>
        <v>0.7</v>
      </c>
      <c r="AF17" s="624">
        <f t="shared" si="31"/>
        <v>3.3</v>
      </c>
      <c r="AG17" s="624">
        <f t="shared" si="32"/>
        <v>4.7</v>
      </c>
      <c r="AH17" s="624">
        <f t="shared" si="33"/>
        <v>5</v>
      </c>
      <c r="AI17" s="624">
        <f t="shared" si="34"/>
        <v>6</v>
      </c>
      <c r="AJ17" s="624">
        <f t="shared" si="35"/>
        <v>6.5</v>
      </c>
      <c r="AK17" s="624">
        <f t="shared" si="36"/>
        <v>10</v>
      </c>
      <c r="AL17" s="628">
        <f t="shared" si="37"/>
        <v>1.2999999999999999E-2</v>
      </c>
      <c r="AM17" s="33">
        <v>0.45</v>
      </c>
      <c r="AN17" s="628">
        <f t="shared" si="38"/>
        <v>8.9999999999999993E-3</v>
      </c>
      <c r="AO17" s="628">
        <f t="shared" si="39"/>
        <v>1.65</v>
      </c>
      <c r="AP17" s="35">
        <v>15</v>
      </c>
      <c r="AQ17" s="32"/>
      <c r="AR17" s="34">
        <v>0.11</v>
      </c>
      <c r="AS17" s="36">
        <v>1.3</v>
      </c>
      <c r="AT17" s="36">
        <v>0.49</v>
      </c>
      <c r="AU17" s="36">
        <v>0.49</v>
      </c>
      <c r="AV17" s="36">
        <v>0.76</v>
      </c>
      <c r="AW17" s="35">
        <v>2.1</v>
      </c>
      <c r="AX17" s="33">
        <v>0.37</v>
      </c>
      <c r="AY17" s="33">
        <v>0</v>
      </c>
      <c r="AZ17" s="33">
        <v>3.2</v>
      </c>
      <c r="BA17" s="33">
        <v>1.7</v>
      </c>
      <c r="BB17" s="32" t="s">
        <v>64</v>
      </c>
      <c r="BC17" s="619">
        <f t="shared" si="3"/>
        <v>0.98437500000000011</v>
      </c>
      <c r="BD17" s="610">
        <f t="shared" si="4"/>
        <v>1.0058823529411767</v>
      </c>
      <c r="BF17" s="610">
        <f t="shared" si="5"/>
        <v>2.8169014084507044E-4</v>
      </c>
      <c r="BG17" s="610">
        <f t="shared" si="6"/>
        <v>6.4516129032258064E-4</v>
      </c>
      <c r="BH17" s="610">
        <f t="shared" si="7"/>
        <v>0.375</v>
      </c>
      <c r="BI17" s="610">
        <f t="shared" si="8"/>
        <v>7.826086956521738E-3</v>
      </c>
      <c r="BJ17" s="610">
        <f t="shared" si="9"/>
        <v>0.37222222222222223</v>
      </c>
      <c r="BK17" s="610">
        <f t="shared" si="10"/>
        <v>6.6666666666666671E-3</v>
      </c>
      <c r="BL17" s="610">
        <f t="shared" si="11"/>
        <v>2.4691358024691358E-3</v>
      </c>
      <c r="BM17" s="610">
        <f t="shared" si="12"/>
        <v>9.4999999999999998E-3</v>
      </c>
      <c r="BN17" s="563">
        <f t="shared" si="13"/>
        <v>375.92685143116768</v>
      </c>
      <c r="BO17" s="563">
        <f t="shared" si="14"/>
        <v>398.68411164787983</v>
      </c>
      <c r="BP17" s="611">
        <f t="shared" si="15"/>
        <v>0.94291906912806323</v>
      </c>
      <c r="BR17" s="564">
        <f t="shared" si="16"/>
        <v>24.75</v>
      </c>
      <c r="BS17" s="564">
        <f t="shared" si="17"/>
        <v>5.16E-2</v>
      </c>
      <c r="BT17" s="564">
        <f t="shared" si="18"/>
        <v>0.44999999999999996</v>
      </c>
      <c r="BU17" s="564">
        <f t="shared" si="19"/>
        <v>5.120000000000001</v>
      </c>
      <c r="BV17" s="564">
        <f t="shared" si="20"/>
        <v>1.7</v>
      </c>
      <c r="BW17" s="564">
        <f t="shared" si="21"/>
        <v>0.75358000000000003</v>
      </c>
      <c r="BX17" s="564">
        <f t="shared" si="0"/>
        <v>0.252</v>
      </c>
      <c r="BY17" s="564">
        <f t="shared" si="22"/>
        <v>0.28979999999999995</v>
      </c>
      <c r="BZ17" s="564">
        <f t="shared" si="23"/>
        <v>1.4028000000000002E-2</v>
      </c>
      <c r="CA17" s="564">
        <f t="shared" si="24"/>
        <v>33.381008000000008</v>
      </c>
      <c r="CB17" s="611">
        <f t="shared" si="25"/>
        <v>0.94031008450704245</v>
      </c>
      <c r="CC17" s="610"/>
      <c r="CD17" s="610">
        <f t="shared" si="26"/>
        <v>0.65306122448979587</v>
      </c>
      <c r="CE17" s="610" t="e">
        <f t="shared" si="27"/>
        <v>#VALUE!</v>
      </c>
      <c r="CF17" s="610">
        <f t="shared" si="40"/>
        <v>1.34</v>
      </c>
      <c r="CG17" s="610">
        <f t="shared" si="41"/>
        <v>0.37</v>
      </c>
    </row>
    <row r="18" spans="2:85" ht="20.149999999999999" customHeight="1" thickBot="1" x14ac:dyDescent="0.25">
      <c r="B18" s="39" t="s">
        <v>643</v>
      </c>
      <c r="C18" s="45" t="s">
        <v>639</v>
      </c>
      <c r="D18" s="41">
        <v>31</v>
      </c>
      <c r="E18" s="42">
        <v>0.01</v>
      </c>
      <c r="F18" s="43">
        <v>0.02</v>
      </c>
      <c r="G18" s="43">
        <v>18</v>
      </c>
      <c r="H18" s="44">
        <v>0.16</v>
      </c>
      <c r="I18" s="43">
        <v>6.7</v>
      </c>
      <c r="J18" s="43">
        <v>0.27</v>
      </c>
      <c r="K18" s="43">
        <v>0.02</v>
      </c>
      <c r="L18" s="45">
        <v>0.09</v>
      </c>
      <c r="M18" s="42">
        <v>120</v>
      </c>
      <c r="N18" s="43">
        <v>61</v>
      </c>
      <c r="O18" s="43">
        <v>130</v>
      </c>
      <c r="P18" s="43">
        <v>150</v>
      </c>
      <c r="Q18" s="43">
        <v>67</v>
      </c>
      <c r="R18" s="626">
        <f>0.5*0.023</f>
        <v>1.15E-2</v>
      </c>
      <c r="S18" s="43">
        <v>5.4</v>
      </c>
      <c r="T18" s="43">
        <v>16</v>
      </c>
      <c r="U18" s="43">
        <v>0.97</v>
      </c>
      <c r="V18" s="43">
        <v>6.5</v>
      </c>
      <c r="W18" s="43">
        <v>100</v>
      </c>
      <c r="X18" s="626">
        <f t="shared" si="28"/>
        <v>0.45</v>
      </c>
      <c r="Y18" s="43">
        <v>4.0999999999999996</v>
      </c>
      <c r="Z18" s="43">
        <v>4.2</v>
      </c>
      <c r="AA18" s="43">
        <v>40</v>
      </c>
      <c r="AB18" s="43">
        <v>2.8</v>
      </c>
      <c r="AC18" s="43">
        <v>1.9</v>
      </c>
      <c r="AD18" s="626">
        <f t="shared" si="29"/>
        <v>0.55000000000000004</v>
      </c>
      <c r="AE18" s="626">
        <f t="shared" si="30"/>
        <v>0.7</v>
      </c>
      <c r="AF18" s="626">
        <f t="shared" si="31"/>
        <v>3.3</v>
      </c>
      <c r="AG18" s="626">
        <f t="shared" si="32"/>
        <v>4.7</v>
      </c>
      <c r="AH18" s="626">
        <f t="shared" si="33"/>
        <v>5</v>
      </c>
      <c r="AI18" s="626">
        <f t="shared" si="34"/>
        <v>6</v>
      </c>
      <c r="AJ18" s="626">
        <f t="shared" si="35"/>
        <v>6.5</v>
      </c>
      <c r="AK18" s="626">
        <f t="shared" si="36"/>
        <v>10</v>
      </c>
      <c r="AL18" s="629">
        <f t="shared" si="37"/>
        <v>1.2999999999999999E-2</v>
      </c>
      <c r="AM18" s="41">
        <v>0.27</v>
      </c>
      <c r="AN18" s="629">
        <f t="shared" si="38"/>
        <v>8.9999999999999993E-3</v>
      </c>
      <c r="AO18" s="629">
        <f t="shared" si="39"/>
        <v>1.65</v>
      </c>
      <c r="AP18" s="43">
        <v>9.9</v>
      </c>
      <c r="AQ18" s="45"/>
      <c r="AR18" s="42">
        <v>0</v>
      </c>
      <c r="AS18" s="44">
        <v>1</v>
      </c>
      <c r="AT18" s="44">
        <v>0.34</v>
      </c>
      <c r="AU18" s="44">
        <v>0.33</v>
      </c>
      <c r="AV18" s="44">
        <v>0.73</v>
      </c>
      <c r="AW18" s="43">
        <v>1.5</v>
      </c>
      <c r="AX18" s="41">
        <v>0.28000000000000003</v>
      </c>
      <c r="AY18" s="41">
        <v>0</v>
      </c>
      <c r="AZ18" s="41">
        <v>2.4</v>
      </c>
      <c r="BA18" s="41">
        <v>1.1000000000000001</v>
      </c>
      <c r="BB18" s="45" t="s">
        <v>64</v>
      </c>
      <c r="BC18" s="620">
        <f t="shared" si="3"/>
        <v>1.0000000000000002</v>
      </c>
      <c r="BD18" s="617">
        <f t="shared" si="4"/>
        <v>0.95454545454545447</v>
      </c>
      <c r="BE18" s="616"/>
      <c r="BF18" s="617">
        <f t="shared" si="5"/>
        <v>2.8169014084507044E-4</v>
      </c>
      <c r="BG18" s="617">
        <f t="shared" si="6"/>
        <v>3.2258064516129032E-4</v>
      </c>
      <c r="BH18" s="617">
        <f t="shared" si="7"/>
        <v>0.375</v>
      </c>
      <c r="BI18" s="617">
        <f t="shared" si="8"/>
        <v>6.956521739130435E-3</v>
      </c>
      <c r="BJ18" s="617">
        <f t="shared" si="9"/>
        <v>0.37222222222222223</v>
      </c>
      <c r="BK18" s="617">
        <f t="shared" si="10"/>
        <v>6.9230769230769233E-3</v>
      </c>
      <c r="BL18" s="617">
        <f t="shared" si="11"/>
        <v>1.6460905349794238E-3</v>
      </c>
      <c r="BM18" s="617">
        <f t="shared" si="12"/>
        <v>4.4999999999999997E-3</v>
      </c>
      <c r="BN18" s="621">
        <f t="shared" si="13"/>
        <v>375.60427078600634</v>
      </c>
      <c r="BO18" s="621">
        <f t="shared" si="14"/>
        <v>392.24791141940904</v>
      </c>
      <c r="BP18" s="618">
        <f t="shared" si="15"/>
        <v>0.95756856786521782</v>
      </c>
      <c r="BQ18" s="616"/>
      <c r="BR18" s="615">
        <f t="shared" si="16"/>
        <v>24.75</v>
      </c>
      <c r="BS18" s="615">
        <f t="shared" si="17"/>
        <v>2.58E-2</v>
      </c>
      <c r="BT18" s="615">
        <f t="shared" si="18"/>
        <v>0.4</v>
      </c>
      <c r="BU18" s="615">
        <f t="shared" si="19"/>
        <v>3.84</v>
      </c>
      <c r="BV18" s="615">
        <f t="shared" si="20"/>
        <v>1.1000000000000001</v>
      </c>
      <c r="BW18" s="615">
        <f t="shared" si="21"/>
        <v>0.56059000000000003</v>
      </c>
      <c r="BX18" s="615">
        <f t="shared" si="0"/>
        <v>9.3799999999999994E-2</v>
      </c>
      <c r="BY18" s="615">
        <f t="shared" si="22"/>
        <v>0.13799999999999998</v>
      </c>
      <c r="BZ18" s="615">
        <f t="shared" si="23"/>
        <v>9.018E-3</v>
      </c>
      <c r="CA18" s="615">
        <f t="shared" si="24"/>
        <v>30.917208000000006</v>
      </c>
      <c r="CB18" s="618">
        <f t="shared" si="25"/>
        <v>0.99732929032258089</v>
      </c>
      <c r="CC18" s="617"/>
      <c r="CD18" s="617">
        <f t="shared" si="26"/>
        <v>0.68571428571428572</v>
      </c>
      <c r="CE18" s="617" t="e">
        <f t="shared" si="27"/>
        <v>#VALUE!</v>
      </c>
      <c r="CF18" s="617">
        <f t="shared" si="40"/>
        <v>0.77</v>
      </c>
      <c r="CG18" s="617">
        <f t="shared" si="41"/>
        <v>0.28000000000000003</v>
      </c>
    </row>
    <row r="19" spans="2:85" ht="20.149999999999999" customHeight="1" x14ac:dyDescent="0.2">
      <c r="B19" s="31" t="s">
        <v>642</v>
      </c>
      <c r="C19" s="46" t="s">
        <v>640</v>
      </c>
      <c r="D19" s="47">
        <v>27.2</v>
      </c>
      <c r="E19" s="48">
        <v>0.01</v>
      </c>
      <c r="F19" s="49">
        <v>0.04</v>
      </c>
      <c r="G19" s="49">
        <v>13</v>
      </c>
      <c r="H19" s="50">
        <v>0.11</v>
      </c>
      <c r="I19" s="49">
        <v>4.9000000000000004</v>
      </c>
      <c r="J19" s="49">
        <v>0.18</v>
      </c>
      <c r="K19" s="49">
        <v>0.02</v>
      </c>
      <c r="L19" s="37">
        <v>0.15</v>
      </c>
      <c r="M19" s="48">
        <v>110</v>
      </c>
      <c r="N19" s="49">
        <v>82</v>
      </c>
      <c r="O19" s="49">
        <v>210</v>
      </c>
      <c r="P19" s="49">
        <v>130</v>
      </c>
      <c r="Q19" s="49">
        <v>170</v>
      </c>
      <c r="R19" s="49">
        <v>2.4E-2</v>
      </c>
      <c r="S19" s="49">
        <v>7</v>
      </c>
      <c r="T19" s="49">
        <v>12</v>
      </c>
      <c r="U19" s="49">
        <v>1.3</v>
      </c>
      <c r="V19" s="49">
        <v>7.7</v>
      </c>
      <c r="W19" s="49">
        <v>150</v>
      </c>
      <c r="X19" s="49" t="s">
        <v>260</v>
      </c>
      <c r="Y19" s="49">
        <v>4</v>
      </c>
      <c r="Z19" s="49">
        <v>4</v>
      </c>
      <c r="AA19" s="49">
        <v>37</v>
      </c>
      <c r="AB19" s="49">
        <v>2.1</v>
      </c>
      <c r="AC19" s="49">
        <v>1.6</v>
      </c>
      <c r="AD19" s="49" t="s">
        <v>291</v>
      </c>
      <c r="AE19" s="49" t="s">
        <v>69</v>
      </c>
      <c r="AF19" s="49" t="s">
        <v>555</v>
      </c>
      <c r="AG19" s="49" t="s">
        <v>556</v>
      </c>
      <c r="AH19" s="49" t="s">
        <v>325</v>
      </c>
      <c r="AI19" s="49" t="s">
        <v>436</v>
      </c>
      <c r="AJ19" s="49" t="s">
        <v>488</v>
      </c>
      <c r="AK19" s="49" t="s">
        <v>460</v>
      </c>
      <c r="AL19" s="47" t="s">
        <v>552</v>
      </c>
      <c r="AM19" s="47">
        <v>0.19</v>
      </c>
      <c r="AN19" s="47" t="s">
        <v>73</v>
      </c>
      <c r="AO19" s="47" t="s">
        <v>557</v>
      </c>
      <c r="AP19" s="49">
        <v>9.9</v>
      </c>
      <c r="AQ19" s="37"/>
      <c r="AR19" s="48">
        <v>0</v>
      </c>
      <c r="AS19" s="50">
        <v>0.9</v>
      </c>
      <c r="AT19" s="50">
        <v>0.38</v>
      </c>
      <c r="AU19" s="50">
        <v>0.3</v>
      </c>
      <c r="AV19" s="50">
        <v>0.68</v>
      </c>
      <c r="AW19" s="49">
        <v>1.4</v>
      </c>
      <c r="AX19" s="47">
        <v>0.43</v>
      </c>
      <c r="AY19" s="47">
        <v>0.02</v>
      </c>
      <c r="AZ19" s="47">
        <v>2.2999999999999998</v>
      </c>
      <c r="BA19" s="47">
        <v>1.2</v>
      </c>
      <c r="BB19" s="37" t="s">
        <v>64</v>
      </c>
      <c r="BC19" s="619">
        <f t="shared" si="3"/>
        <v>0.98260869565217412</v>
      </c>
      <c r="BD19" s="610">
        <f t="shared" si="4"/>
        <v>0.97499999999999998</v>
      </c>
      <c r="BF19" s="610">
        <f t="shared" si="5"/>
        <v>2.8169014084507044E-4</v>
      </c>
      <c r="BG19" s="610">
        <f t="shared" si="6"/>
        <v>6.4516129032258064E-4</v>
      </c>
      <c r="BH19" s="610">
        <f t="shared" si="7"/>
        <v>0.27083333333333331</v>
      </c>
      <c r="BI19" s="610">
        <f t="shared" si="8"/>
        <v>4.7826086956521737E-3</v>
      </c>
      <c r="BJ19" s="610">
        <f t="shared" si="9"/>
        <v>0.27222222222222225</v>
      </c>
      <c r="BK19" s="610">
        <f t="shared" si="10"/>
        <v>4.6153846153846149E-3</v>
      </c>
      <c r="BL19" s="610">
        <f t="shared" si="11"/>
        <v>1.6460905349794238E-3</v>
      </c>
      <c r="BM19" s="610">
        <f t="shared" si="12"/>
        <v>7.4999999999999997E-3</v>
      </c>
      <c r="BN19" s="563">
        <f t="shared" si="13"/>
        <v>271.76018476450099</v>
      </c>
      <c r="BO19" s="563">
        <f t="shared" si="14"/>
        <v>290.76630606823852</v>
      </c>
      <c r="BP19" s="611">
        <f t="shared" si="15"/>
        <v>0.93463437507344105</v>
      </c>
      <c r="BR19" s="564">
        <f t="shared" si="16"/>
        <v>17.875</v>
      </c>
      <c r="BS19" s="564">
        <f t="shared" si="17"/>
        <v>5.16E-2</v>
      </c>
      <c r="BT19" s="564">
        <f t="shared" si="18"/>
        <v>0.27500000000000002</v>
      </c>
      <c r="BU19" s="564">
        <f t="shared" si="19"/>
        <v>3.6799999999999997</v>
      </c>
      <c r="BV19" s="564">
        <f t="shared" si="20"/>
        <v>1.2</v>
      </c>
      <c r="BW19" s="564">
        <f t="shared" si="21"/>
        <v>0.75358000000000003</v>
      </c>
      <c r="BX19" s="564">
        <f t="shared" si="0"/>
        <v>0.23799999999999999</v>
      </c>
      <c r="BY19" s="564">
        <f t="shared" si="22"/>
        <v>0.20699999999999999</v>
      </c>
      <c r="BZ19" s="564">
        <f t="shared" si="23"/>
        <v>1.1689999999999999E-2</v>
      </c>
      <c r="CA19" s="564">
        <f t="shared" si="24"/>
        <v>24.291869999999999</v>
      </c>
      <c r="CB19" s="611">
        <f t="shared" si="25"/>
        <v>0.89308345588235294</v>
      </c>
      <c r="CC19" s="610"/>
      <c r="CD19" s="610">
        <f t="shared" si="26"/>
        <v>0.65714285714285714</v>
      </c>
      <c r="CE19" s="610" t="e">
        <f t="shared" si="27"/>
        <v>#VALUE!</v>
      </c>
      <c r="CF19" s="610">
        <f t="shared" si="40"/>
        <v>0.71999999999999986</v>
      </c>
      <c r="CG19" s="610">
        <f t="shared" si="41"/>
        <v>0.45</v>
      </c>
    </row>
    <row r="20" spans="2:85" ht="20.149999999999999" customHeight="1" x14ac:dyDescent="0.2">
      <c r="B20" s="21" t="s">
        <v>642</v>
      </c>
      <c r="C20" s="52" t="s">
        <v>641</v>
      </c>
      <c r="D20" s="53">
        <v>10.7</v>
      </c>
      <c r="E20" s="54" t="s">
        <v>531</v>
      </c>
      <c r="F20" s="55">
        <v>0.05</v>
      </c>
      <c r="G20" s="55">
        <v>5.4</v>
      </c>
      <c r="H20" s="56">
        <v>0.14000000000000001</v>
      </c>
      <c r="I20" s="55">
        <v>2.2000000000000002</v>
      </c>
      <c r="J20" s="55">
        <v>0.1</v>
      </c>
      <c r="K20" s="55">
        <v>0.02</v>
      </c>
      <c r="L20" s="52">
        <v>0.08</v>
      </c>
      <c r="M20" s="54">
        <v>100</v>
      </c>
      <c r="N20" s="55">
        <v>31</v>
      </c>
      <c r="O20" s="55">
        <v>88</v>
      </c>
      <c r="P20" s="55">
        <v>61</v>
      </c>
      <c r="Q20" s="55">
        <v>71</v>
      </c>
      <c r="R20" s="55" t="s">
        <v>292</v>
      </c>
      <c r="S20" s="55">
        <v>3.4</v>
      </c>
      <c r="T20" s="55">
        <v>6</v>
      </c>
      <c r="U20" s="55">
        <v>0.44</v>
      </c>
      <c r="V20" s="55">
        <v>2.5</v>
      </c>
      <c r="W20" s="55">
        <v>110</v>
      </c>
      <c r="X20" s="55" t="s">
        <v>260</v>
      </c>
      <c r="Y20" s="55">
        <v>1.7</v>
      </c>
      <c r="Z20" s="55">
        <v>1.9</v>
      </c>
      <c r="AA20" s="55">
        <v>13</v>
      </c>
      <c r="AB20" s="55" t="s">
        <v>559</v>
      </c>
      <c r="AC20" s="55" t="s">
        <v>540</v>
      </c>
      <c r="AD20" s="55" t="s">
        <v>291</v>
      </c>
      <c r="AE20" s="55" t="s">
        <v>69</v>
      </c>
      <c r="AF20" s="55" t="s">
        <v>555</v>
      </c>
      <c r="AG20" s="55" t="s">
        <v>556</v>
      </c>
      <c r="AH20" s="55" t="s">
        <v>325</v>
      </c>
      <c r="AI20" s="55" t="s">
        <v>436</v>
      </c>
      <c r="AJ20" s="55" t="s">
        <v>488</v>
      </c>
      <c r="AK20" s="55" t="s">
        <v>460</v>
      </c>
      <c r="AL20" s="53" t="s">
        <v>552</v>
      </c>
      <c r="AM20" s="53">
        <v>7.0000000000000007E-2</v>
      </c>
      <c r="AN20" s="53" t="s">
        <v>73</v>
      </c>
      <c r="AO20" s="53" t="s">
        <v>557</v>
      </c>
      <c r="AP20" s="55">
        <v>2.2999999999999998</v>
      </c>
      <c r="AQ20" s="52"/>
      <c r="AR20" s="54">
        <v>0</v>
      </c>
      <c r="AS20" s="56">
        <v>0.55000000000000004</v>
      </c>
      <c r="AT20" s="56">
        <v>0.19</v>
      </c>
      <c r="AU20" s="56">
        <v>0.09</v>
      </c>
      <c r="AV20" s="56">
        <v>0.25</v>
      </c>
      <c r="AW20" s="55">
        <v>0.45</v>
      </c>
      <c r="AX20" s="53">
        <v>0.26</v>
      </c>
      <c r="AY20" s="53">
        <v>0</v>
      </c>
      <c r="AZ20" s="53">
        <v>1.1000000000000001</v>
      </c>
      <c r="BA20" s="53">
        <v>0.46</v>
      </c>
      <c r="BB20" s="52" t="s">
        <v>64</v>
      </c>
      <c r="BC20" s="619">
        <f t="shared" si="3"/>
        <v>0.98181818181818181</v>
      </c>
      <c r="BD20" s="610">
        <f t="shared" si="4"/>
        <v>0.99999999999999989</v>
      </c>
      <c r="BF20" s="610" t="e">
        <f t="shared" si="5"/>
        <v>#VALUE!</v>
      </c>
      <c r="BG20" s="610">
        <f t="shared" si="6"/>
        <v>8.0645161290322581E-4</v>
      </c>
      <c r="BH20" s="610">
        <f t="shared" si="7"/>
        <v>0.1125</v>
      </c>
      <c r="BI20" s="610">
        <f t="shared" si="8"/>
        <v>6.0869565217391312E-3</v>
      </c>
      <c r="BJ20" s="610">
        <f t="shared" si="9"/>
        <v>0.12222222222222223</v>
      </c>
      <c r="BK20" s="610">
        <f t="shared" si="10"/>
        <v>2.5641025641025641E-3</v>
      </c>
      <c r="BL20" s="610">
        <f t="shared" si="11"/>
        <v>1.6460905349794238E-3</v>
      </c>
      <c r="BM20" s="610">
        <f t="shared" si="12"/>
        <v>4.0000000000000001E-3</v>
      </c>
      <c r="BN20" s="563" t="e">
        <f t="shared" si="13"/>
        <v>#VALUE!</v>
      </c>
      <c r="BO20" s="563">
        <f t="shared" si="14"/>
        <v>136.51937184304333</v>
      </c>
      <c r="BP20" s="611" t="e">
        <f t="shared" si="15"/>
        <v>#VALUE!</v>
      </c>
      <c r="BR20" s="564">
        <f t="shared" si="16"/>
        <v>7.4250000000000007</v>
      </c>
      <c r="BS20" s="564">
        <f t="shared" si="17"/>
        <v>6.4500000000000002E-2</v>
      </c>
      <c r="BT20" s="564">
        <f t="shared" si="18"/>
        <v>0.35000000000000003</v>
      </c>
      <c r="BU20" s="564">
        <f t="shared" si="19"/>
        <v>1.7600000000000002</v>
      </c>
      <c r="BV20" s="564">
        <f t="shared" si="20"/>
        <v>0.46</v>
      </c>
      <c r="BW20" s="564">
        <f t="shared" si="21"/>
        <v>0.28489000000000003</v>
      </c>
      <c r="BX20" s="564">
        <f t="shared" si="0"/>
        <v>9.9399999999999988E-2</v>
      </c>
      <c r="BY20" s="564">
        <f t="shared" si="22"/>
        <v>0.15179999999999999</v>
      </c>
      <c r="BZ20" s="564">
        <f t="shared" si="23"/>
        <v>5.677999999999999E-3</v>
      </c>
      <c r="CA20" s="564">
        <f t="shared" si="24"/>
        <v>10.601268000000001</v>
      </c>
      <c r="CB20" s="611">
        <f t="shared" si="25"/>
        <v>0.99077271028037395</v>
      </c>
      <c r="CD20" s="610">
        <f t="shared" si="26"/>
        <v>0.70512820512820518</v>
      </c>
      <c r="CE20" s="610" t="e">
        <f t="shared" si="27"/>
        <v>#VALUE!</v>
      </c>
      <c r="CF20" s="610">
        <f t="shared" si="40"/>
        <v>0.2</v>
      </c>
      <c r="CG20" s="610">
        <f t="shared" si="41"/>
        <v>0.26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26.528571428571428</v>
      </c>
      <c r="E21" s="541">
        <f t="shared" ref="E21:BB21" si="42">AVERAGE(E12:E18)</f>
        <v>9.9999999999999985E-3</v>
      </c>
      <c r="F21" s="541">
        <f t="shared" si="42"/>
        <v>5.7142857142857141E-2</v>
      </c>
      <c r="G21" s="540">
        <f t="shared" si="42"/>
        <v>13.12857142857143</v>
      </c>
      <c r="H21" s="541">
        <f t="shared" si="42"/>
        <v>0.26714285714285713</v>
      </c>
      <c r="I21" s="540">
        <f t="shared" si="42"/>
        <v>4.7</v>
      </c>
      <c r="J21" s="541">
        <f t="shared" si="42"/>
        <v>0.18</v>
      </c>
      <c r="K21" s="541">
        <f t="shared" si="42"/>
        <v>3.8571428571428576E-2</v>
      </c>
      <c r="L21" s="541">
        <f t="shared" si="42"/>
        <v>0.12714285714285714</v>
      </c>
      <c r="M21" s="540">
        <f t="shared" si="42"/>
        <v>204.28571428571428</v>
      </c>
      <c r="N21" s="540">
        <f t="shared" si="42"/>
        <v>49.714285714285715</v>
      </c>
      <c r="O21" s="540">
        <f t="shared" si="42"/>
        <v>119</v>
      </c>
      <c r="P21" s="540">
        <f t="shared" si="42"/>
        <v>109.42857142857143</v>
      </c>
      <c r="Q21" s="540">
        <f t="shared" si="42"/>
        <v>113.42857142857143</v>
      </c>
      <c r="R21" s="540">
        <f t="shared" si="42"/>
        <v>1.3285714285714284E-2</v>
      </c>
      <c r="S21" s="540">
        <f t="shared" si="42"/>
        <v>5.242857142857142</v>
      </c>
      <c r="T21" s="540">
        <f t="shared" si="42"/>
        <v>23.099999999999998</v>
      </c>
      <c r="U21" s="540">
        <f t="shared" si="42"/>
        <v>2.0171428571428569</v>
      </c>
      <c r="V21" s="540">
        <f t="shared" si="42"/>
        <v>7.4571428571428564</v>
      </c>
      <c r="W21" s="540">
        <f t="shared" si="42"/>
        <v>162.85714285714286</v>
      </c>
      <c r="X21" s="540">
        <f t="shared" si="42"/>
        <v>0.45000000000000007</v>
      </c>
      <c r="Y21" s="540">
        <f t="shared" si="42"/>
        <v>6.9142857142857137</v>
      </c>
      <c r="Z21" s="540">
        <f t="shared" si="42"/>
        <v>3.9428571428571426</v>
      </c>
      <c r="AA21" s="540">
        <f t="shared" si="42"/>
        <v>30.285714285714285</v>
      </c>
      <c r="AB21" s="540">
        <f t="shared" si="42"/>
        <v>1.2542857142857144</v>
      </c>
      <c r="AC21" s="541">
        <f t="shared" si="42"/>
        <v>1.0978571428571429</v>
      </c>
      <c r="AD21" s="541">
        <f t="shared" si="42"/>
        <v>0.54999999999999993</v>
      </c>
      <c r="AE21" s="541">
        <f t="shared" si="42"/>
        <v>0.70000000000000007</v>
      </c>
      <c r="AF21" s="541">
        <f t="shared" si="42"/>
        <v>3.3000000000000003</v>
      </c>
      <c r="AG21" s="541">
        <f t="shared" si="42"/>
        <v>4.7</v>
      </c>
      <c r="AH21" s="541">
        <f t="shared" si="42"/>
        <v>5</v>
      </c>
      <c r="AI21" s="541">
        <f t="shared" si="42"/>
        <v>6</v>
      </c>
      <c r="AJ21" s="541">
        <f t="shared" si="42"/>
        <v>6.5</v>
      </c>
      <c r="AK21" s="541">
        <f t="shared" si="42"/>
        <v>10</v>
      </c>
      <c r="AL21" s="541">
        <f t="shared" si="42"/>
        <v>1.2999999999999999E-2</v>
      </c>
      <c r="AM21" s="541">
        <f t="shared" si="42"/>
        <v>0.33142857142857146</v>
      </c>
      <c r="AN21" s="541">
        <f t="shared" si="42"/>
        <v>8.9999999999999993E-3</v>
      </c>
      <c r="AO21" s="541">
        <f t="shared" si="42"/>
        <v>1.6500000000000001</v>
      </c>
      <c r="AP21" s="541">
        <f t="shared" si="42"/>
        <v>8.2714285714285705</v>
      </c>
      <c r="AQ21" s="541" t="e">
        <f t="shared" si="42"/>
        <v>#DIV/0!</v>
      </c>
      <c r="AR21" s="540">
        <f t="shared" si="42"/>
        <v>7.4285714285714288E-2</v>
      </c>
      <c r="AS21" s="540">
        <f t="shared" si="42"/>
        <v>1.0828571428571427</v>
      </c>
      <c r="AT21" s="540">
        <f t="shared" si="42"/>
        <v>0.44</v>
      </c>
      <c r="AU21" s="540">
        <f t="shared" si="42"/>
        <v>0.36428571428571427</v>
      </c>
      <c r="AV21" s="540">
        <f t="shared" si="42"/>
        <v>0.74428571428571444</v>
      </c>
      <c r="AW21" s="540">
        <f t="shared" si="42"/>
        <v>1.6428571428571428</v>
      </c>
      <c r="AX21" s="540">
        <f t="shared" si="42"/>
        <v>0.31857142857142862</v>
      </c>
      <c r="AY21" s="540">
        <f t="shared" si="42"/>
        <v>4.2857142857142859E-3</v>
      </c>
      <c r="AZ21" s="540">
        <f t="shared" si="42"/>
        <v>2.6999999999999997</v>
      </c>
      <c r="BA21" s="540">
        <f t="shared" si="42"/>
        <v>1.2142857142857142</v>
      </c>
      <c r="BB21" s="540" t="e">
        <f t="shared" si="42"/>
        <v>#DIV/0!</v>
      </c>
      <c r="CD21" s="691">
        <f>AVERAGE(CD12:CD18)</f>
        <v>0.69299421493762636</v>
      </c>
      <c r="CE21" s="691" t="e">
        <f>AVERAGE(CE12:CE18)</f>
        <v>#VALUE!</v>
      </c>
      <c r="CF21" s="691">
        <f>AVERAGE(CF12:CF18)</f>
        <v>0.89857142857142869</v>
      </c>
      <c r="CG21" s="691">
        <f>AVERAGE(CG12:CG18)</f>
        <v>0.32285714285714295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22.042857142857141</v>
      </c>
      <c r="E22" s="545">
        <f t="shared" ref="E22:BB22" si="43">AVERAGE(E7:E20)</f>
        <v>1.4545454545454549E-2</v>
      </c>
      <c r="F22" s="545">
        <f t="shared" si="43"/>
        <v>8.5000000000000006E-2</v>
      </c>
      <c r="G22" s="544">
        <f t="shared" si="43"/>
        <v>9.7071428571428573</v>
      </c>
      <c r="H22" s="545">
        <f t="shared" si="43"/>
        <v>0.25000000000000006</v>
      </c>
      <c r="I22" s="544">
        <f t="shared" si="43"/>
        <v>3.4821428571428577</v>
      </c>
      <c r="J22" s="545">
        <f t="shared" si="43"/>
        <v>0.17142857142857146</v>
      </c>
      <c r="K22" s="545">
        <f t="shared" si="43"/>
        <v>3.6428571428571435E-2</v>
      </c>
      <c r="L22" s="545">
        <f t="shared" si="43"/>
        <v>0.10428571428571429</v>
      </c>
      <c r="M22" s="544">
        <f t="shared" si="43"/>
        <v>189.85714285714286</v>
      </c>
      <c r="N22" s="544">
        <f t="shared" si="43"/>
        <v>48.833333333333336</v>
      </c>
      <c r="O22" s="544">
        <f t="shared" si="43"/>
        <v>104.28571428571429</v>
      </c>
      <c r="P22" s="544">
        <f t="shared" si="43"/>
        <v>105.57142857142857</v>
      </c>
      <c r="Q22" s="544">
        <f t="shared" si="43"/>
        <v>95.785714285714292</v>
      </c>
      <c r="R22" s="544">
        <f t="shared" si="43"/>
        <v>1.4624999999999999E-2</v>
      </c>
      <c r="S22" s="544">
        <f t="shared" si="43"/>
        <v>4.9071428571428575</v>
      </c>
      <c r="T22" s="544">
        <f t="shared" si="43"/>
        <v>18.478571428571428</v>
      </c>
      <c r="U22" s="544">
        <f t="shared" si="43"/>
        <v>1.9407692307692308</v>
      </c>
      <c r="V22" s="544">
        <f t="shared" si="43"/>
        <v>7.430769230769231</v>
      </c>
      <c r="W22" s="544">
        <f t="shared" si="43"/>
        <v>162.35714285714286</v>
      </c>
      <c r="X22" s="544">
        <f t="shared" si="43"/>
        <v>0.45000000000000007</v>
      </c>
      <c r="Y22" s="544">
        <f t="shared" si="43"/>
        <v>6.0076923076923077</v>
      </c>
      <c r="Z22" s="544">
        <f t="shared" si="43"/>
        <v>3.9846153846153851</v>
      </c>
      <c r="AA22" s="544">
        <f t="shared" si="43"/>
        <v>28.830769230769231</v>
      </c>
      <c r="AB22" s="544">
        <f t="shared" si="43"/>
        <v>1.3977777777777778</v>
      </c>
      <c r="AC22" s="545">
        <f t="shared" si="43"/>
        <v>1.2284999999999999</v>
      </c>
      <c r="AD22" s="545">
        <f t="shared" si="43"/>
        <v>0.54999999999999993</v>
      </c>
      <c r="AE22" s="545">
        <f t="shared" si="43"/>
        <v>1.5199999999999996</v>
      </c>
      <c r="AF22" s="545">
        <f t="shared" si="43"/>
        <v>3.3000000000000003</v>
      </c>
      <c r="AG22" s="545">
        <f t="shared" si="43"/>
        <v>4.7</v>
      </c>
      <c r="AH22" s="545">
        <f t="shared" si="43"/>
        <v>5</v>
      </c>
      <c r="AI22" s="545">
        <f t="shared" si="43"/>
        <v>6</v>
      </c>
      <c r="AJ22" s="545">
        <f t="shared" si="43"/>
        <v>6.5</v>
      </c>
      <c r="AK22" s="545">
        <f t="shared" si="43"/>
        <v>10</v>
      </c>
      <c r="AL22" s="545">
        <f t="shared" si="43"/>
        <v>1.2999999999999999E-2</v>
      </c>
      <c r="AM22" s="545">
        <f t="shared" si="43"/>
        <v>0.36153846153846153</v>
      </c>
      <c r="AN22" s="545">
        <f t="shared" si="43"/>
        <v>8.9999999999999993E-3</v>
      </c>
      <c r="AO22" s="545">
        <f t="shared" si="43"/>
        <v>1.6500000000000001</v>
      </c>
      <c r="AP22" s="545">
        <f t="shared" si="43"/>
        <v>7.3083333333333345</v>
      </c>
      <c r="AQ22" s="545" t="e">
        <f t="shared" si="43"/>
        <v>#DIV/0!</v>
      </c>
      <c r="AR22" s="544">
        <f t="shared" si="43"/>
        <v>8.214285714285717E-2</v>
      </c>
      <c r="AS22" s="544">
        <f t="shared" si="43"/>
        <v>1.2821428571428573</v>
      </c>
      <c r="AT22" s="544">
        <f t="shared" si="43"/>
        <v>0.58142857142857152</v>
      </c>
      <c r="AU22" s="544">
        <f t="shared" si="43"/>
        <v>0.46928571428571425</v>
      </c>
      <c r="AV22" s="544">
        <f t="shared" si="43"/>
        <v>0.74071428571428566</v>
      </c>
      <c r="AW22" s="544">
        <f t="shared" si="43"/>
        <v>1.5771428571428572</v>
      </c>
      <c r="AX22" s="544">
        <f t="shared" si="43"/>
        <v>0.30642857142857138</v>
      </c>
      <c r="AY22" s="544">
        <f t="shared" si="43"/>
        <v>8.5714285714285719E-3</v>
      </c>
      <c r="AZ22" s="544">
        <f t="shared" si="43"/>
        <v>3.1642857142857141</v>
      </c>
      <c r="BA22" s="544">
        <f t="shared" si="43"/>
        <v>1.1507142857142856</v>
      </c>
      <c r="BB22" s="544" t="e">
        <f t="shared" si="43"/>
        <v>#DIV/0!</v>
      </c>
      <c r="CD22" s="691">
        <f>AVERAGE(CD7:CD20)</f>
        <v>0.72674542395542285</v>
      </c>
      <c r="CE22" s="691" t="e">
        <f>AVERAGE(CE7:CE20)</f>
        <v>#VALUE!</v>
      </c>
      <c r="CF22" s="691">
        <f>AVERAGE(CF7:CF20)</f>
        <v>0.83642857142857141</v>
      </c>
      <c r="CG22" s="691">
        <f>AVERAGE(CG7:CG20)</f>
        <v>0.315</v>
      </c>
    </row>
    <row r="23" spans="2:85" ht="20.149999999999999" customHeight="1" x14ac:dyDescent="0.2">
      <c r="B23" s="704" t="s">
        <v>94</v>
      </c>
      <c r="C23" s="705"/>
      <c r="D23" s="57"/>
      <c r="E23" s="30">
        <v>0.01</v>
      </c>
      <c r="F23" s="29">
        <v>0.01</v>
      </c>
      <c r="G23" s="29">
        <v>0.01</v>
      </c>
      <c r="H23" s="30">
        <v>0.01</v>
      </c>
      <c r="I23" s="29">
        <v>0.02</v>
      </c>
      <c r="J23" s="29">
        <v>0.01</v>
      </c>
      <c r="K23" s="29">
        <v>0.01</v>
      </c>
      <c r="L23" s="26">
        <v>0.01</v>
      </c>
      <c r="M23" s="30">
        <v>14</v>
      </c>
      <c r="N23" s="29">
        <v>17</v>
      </c>
      <c r="O23" s="29">
        <v>8</v>
      </c>
      <c r="P23" s="29">
        <v>2.7</v>
      </c>
      <c r="Q23" s="29">
        <v>2.2000000000000002</v>
      </c>
      <c r="R23" s="29">
        <v>2.3E-2</v>
      </c>
      <c r="S23" s="29">
        <v>0.74</v>
      </c>
      <c r="T23" s="29">
        <v>1</v>
      </c>
      <c r="U23" s="29">
        <v>0.4</v>
      </c>
      <c r="V23" s="29">
        <v>1.4</v>
      </c>
      <c r="W23" s="29">
        <v>5.5</v>
      </c>
      <c r="X23" s="29">
        <v>0.9</v>
      </c>
      <c r="Y23" s="29">
        <v>0.86</v>
      </c>
      <c r="Z23" s="29">
        <v>1.1000000000000001</v>
      </c>
      <c r="AA23" s="29">
        <v>1.7</v>
      </c>
      <c r="AB23" s="29">
        <v>0.89</v>
      </c>
      <c r="AC23" s="29">
        <v>0.99</v>
      </c>
      <c r="AD23" s="29">
        <v>1.1000000000000001</v>
      </c>
      <c r="AE23" s="29">
        <v>1.4</v>
      </c>
      <c r="AF23" s="29">
        <v>6.6</v>
      </c>
      <c r="AG23" s="29">
        <v>9.4</v>
      </c>
      <c r="AH23" s="29">
        <v>10</v>
      </c>
      <c r="AI23" s="29">
        <v>12</v>
      </c>
      <c r="AJ23" s="29">
        <v>13</v>
      </c>
      <c r="AK23" s="29">
        <v>20</v>
      </c>
      <c r="AL23" s="27">
        <v>2.5999999999999999E-2</v>
      </c>
      <c r="AM23" s="58">
        <v>0.04</v>
      </c>
      <c r="AN23" s="58">
        <v>1.7999999999999999E-2</v>
      </c>
      <c r="AO23" s="58">
        <v>3.3</v>
      </c>
      <c r="AP23" s="59">
        <v>2.2999999999999998</v>
      </c>
      <c r="AQ23" s="60"/>
      <c r="AR23" s="28">
        <v>0</v>
      </c>
      <c r="AS23" s="30">
        <v>0.03</v>
      </c>
      <c r="AT23" s="30">
        <v>0.01</v>
      </c>
      <c r="AU23" s="30">
        <v>0</v>
      </c>
      <c r="AV23" s="30">
        <v>0</v>
      </c>
      <c r="AW23" s="29">
        <v>0</v>
      </c>
      <c r="AX23" s="27">
        <v>0</v>
      </c>
      <c r="AY23" s="27">
        <v>0</v>
      </c>
      <c r="AZ23" s="27"/>
      <c r="BA23" s="27"/>
      <c r="BB23" s="26"/>
    </row>
    <row r="24" spans="2:85" ht="20.149999999999999" customHeight="1" x14ac:dyDescent="0.2">
      <c r="B24" s="692" t="s">
        <v>95</v>
      </c>
      <c r="C24" s="693"/>
      <c r="D24" s="61"/>
      <c r="E24" s="56">
        <v>0.02</v>
      </c>
      <c r="F24" s="55">
        <v>0.02</v>
      </c>
      <c r="G24" s="55">
        <v>0.02</v>
      </c>
      <c r="H24" s="56">
        <v>0.02</v>
      </c>
      <c r="I24" s="55">
        <v>0.06</v>
      </c>
      <c r="J24" s="55">
        <v>0.03</v>
      </c>
      <c r="K24" s="55">
        <v>0.01</v>
      </c>
      <c r="L24" s="52">
        <v>0.03</v>
      </c>
      <c r="M24" s="56">
        <v>14</v>
      </c>
      <c r="N24" s="55">
        <v>17</v>
      </c>
      <c r="O24" s="55">
        <v>8</v>
      </c>
      <c r="P24" s="55">
        <v>2.7</v>
      </c>
      <c r="Q24" s="55">
        <v>2.2000000000000002</v>
      </c>
      <c r="R24" s="55">
        <v>7.6999999999999999E-2</v>
      </c>
      <c r="S24" s="55">
        <v>0.74</v>
      </c>
      <c r="T24" s="55">
        <v>1</v>
      </c>
      <c r="U24" s="55">
        <v>0.4</v>
      </c>
      <c r="V24" s="55">
        <v>1.4</v>
      </c>
      <c r="W24" s="55">
        <v>5.5</v>
      </c>
      <c r="X24" s="55">
        <v>0.9</v>
      </c>
      <c r="Y24" s="55">
        <v>0.86</v>
      </c>
      <c r="Z24" s="55">
        <v>1.1000000000000001</v>
      </c>
      <c r="AA24" s="55">
        <v>1.7</v>
      </c>
      <c r="AB24" s="55">
        <v>0.89</v>
      </c>
      <c r="AC24" s="55">
        <v>0.99</v>
      </c>
      <c r="AD24" s="55">
        <v>1.1000000000000001</v>
      </c>
      <c r="AE24" s="55">
        <v>1.4</v>
      </c>
      <c r="AF24" s="55">
        <v>6.6</v>
      </c>
      <c r="AG24" s="55">
        <v>9.4</v>
      </c>
      <c r="AH24" s="55">
        <v>10</v>
      </c>
      <c r="AI24" s="55">
        <v>12</v>
      </c>
      <c r="AJ24" s="55">
        <v>13</v>
      </c>
      <c r="AK24" s="55">
        <v>20</v>
      </c>
      <c r="AL24" s="53">
        <v>8.6999999999999994E-2</v>
      </c>
      <c r="AM24" s="53">
        <v>0.14000000000000001</v>
      </c>
      <c r="AN24" s="53">
        <v>5.8999999999999997E-2</v>
      </c>
      <c r="AO24" s="53">
        <v>3.3</v>
      </c>
      <c r="AP24" s="55">
        <v>2.2999999999999998</v>
      </c>
      <c r="AQ24" s="52"/>
      <c r="AR24" s="54">
        <v>0</v>
      </c>
      <c r="AS24" s="56">
        <v>0.1</v>
      </c>
      <c r="AT24" s="56">
        <v>0.04</v>
      </c>
      <c r="AU24" s="56">
        <v>0</v>
      </c>
      <c r="AV24" s="56">
        <v>0</v>
      </c>
      <c r="AW24" s="55">
        <v>0</v>
      </c>
      <c r="AX24" s="53">
        <v>0</v>
      </c>
      <c r="AY24" s="53">
        <v>0</v>
      </c>
      <c r="AZ24" s="53"/>
      <c r="BA24" s="53"/>
      <c r="BB24" s="5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39" priority="6" stopIfTrue="1" operator="notBetween">
      <formula>0.8</formula>
      <formula>1.2</formula>
    </cfRule>
  </conditionalFormatting>
  <conditionalFormatting sqref="BC7:BD20">
    <cfRule type="cellIs" dxfId="38" priority="5" stopIfTrue="1" operator="notBetween">
      <formula>0.9</formula>
      <formula>1.1</formula>
    </cfRule>
  </conditionalFormatting>
  <conditionalFormatting sqref="BP7:BP20">
    <cfRule type="cellIs" dxfId="37" priority="3" stopIfTrue="1" operator="notBetween">
      <formula>0.8</formula>
      <formula>1.2</formula>
    </cfRule>
  </conditionalFormatting>
  <conditionalFormatting sqref="CF7:CF20">
    <cfRule type="cellIs" dxfId="36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560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4.5999999999999996</v>
      </c>
      <c r="E7" s="28">
        <v>5.7000000000000002E-2</v>
      </c>
      <c r="F7" s="29">
        <v>9.2999999999999999E-2</v>
      </c>
      <c r="G7" s="29">
        <v>1.5</v>
      </c>
      <c r="H7" s="30">
        <v>0.17</v>
      </c>
      <c r="I7" s="29">
        <v>0.37</v>
      </c>
      <c r="J7" s="29">
        <v>0.02</v>
      </c>
      <c r="K7" s="29">
        <v>1.9E-2</v>
      </c>
      <c r="L7" s="26">
        <v>2.5999999999999999E-2</v>
      </c>
      <c r="M7" s="28">
        <v>200</v>
      </c>
      <c r="N7" s="29">
        <v>9</v>
      </c>
      <c r="O7" s="29" t="s">
        <v>232</v>
      </c>
      <c r="P7" s="29">
        <v>23</v>
      </c>
      <c r="Q7" s="29">
        <v>25</v>
      </c>
      <c r="R7" s="29" t="s">
        <v>298</v>
      </c>
      <c r="S7" s="29">
        <v>1.8</v>
      </c>
      <c r="T7" s="29">
        <v>5.5</v>
      </c>
      <c r="U7" s="29">
        <v>0.62</v>
      </c>
      <c r="V7" s="29">
        <v>4.2</v>
      </c>
      <c r="W7" s="29">
        <v>38</v>
      </c>
      <c r="X7" s="29">
        <v>6.5000000000000002E-2</v>
      </c>
      <c r="Y7" s="29">
        <v>2.2999999999999998</v>
      </c>
      <c r="Z7" s="29">
        <v>1.9</v>
      </c>
      <c r="AA7" s="29">
        <v>3.9</v>
      </c>
      <c r="AB7" s="29">
        <v>0.14000000000000001</v>
      </c>
      <c r="AC7" s="29">
        <v>0.15</v>
      </c>
      <c r="AD7" s="29">
        <v>2.8000000000000001E-2</v>
      </c>
      <c r="AE7" s="29">
        <v>0.25</v>
      </c>
      <c r="AF7" s="29">
        <v>0.16</v>
      </c>
      <c r="AG7" s="29" t="s">
        <v>333</v>
      </c>
      <c r="AH7" s="29">
        <v>3.8</v>
      </c>
      <c r="AI7" s="29" t="s">
        <v>295</v>
      </c>
      <c r="AJ7" s="29">
        <v>4.4999999999999998E-2</v>
      </c>
      <c r="AK7" s="29" t="s">
        <v>333</v>
      </c>
      <c r="AL7" s="27">
        <v>2.8000000000000001E-2</v>
      </c>
      <c r="AM7" s="27">
        <v>6.6000000000000003E-2</v>
      </c>
      <c r="AN7" s="27" t="s">
        <v>253</v>
      </c>
      <c r="AO7" s="27" t="s">
        <v>561</v>
      </c>
      <c r="AP7" s="29">
        <v>0.27</v>
      </c>
      <c r="AQ7" s="26"/>
      <c r="AR7" s="28" t="s">
        <v>545</v>
      </c>
      <c r="AS7" s="30">
        <v>0.68</v>
      </c>
      <c r="AT7" s="30">
        <v>0.39</v>
      </c>
      <c r="AU7" s="30">
        <v>0.15</v>
      </c>
      <c r="AV7" s="30">
        <v>0.15</v>
      </c>
      <c r="AW7" s="29">
        <v>0.2</v>
      </c>
      <c r="AX7" s="27">
        <v>0.33</v>
      </c>
      <c r="AY7" s="27" t="s">
        <v>340</v>
      </c>
      <c r="AZ7" s="27">
        <v>1.4</v>
      </c>
      <c r="BA7" s="27">
        <v>0.38</v>
      </c>
      <c r="BB7" s="26">
        <v>0.76</v>
      </c>
      <c r="BC7" s="619">
        <f>SUM(AR7:AV7)/AZ7</f>
        <v>0.97857142857142854</v>
      </c>
      <c r="BD7" s="610">
        <f>(SUM(AW7:AY7)-AV7)/BA7</f>
        <v>1</v>
      </c>
      <c r="BF7" s="610">
        <f>E7/35.5</f>
        <v>1.6056338028169015E-3</v>
      </c>
      <c r="BG7" s="610">
        <f>F7/62</f>
        <v>1.5E-3</v>
      </c>
      <c r="BH7" s="610">
        <f>G7/(96/2)</f>
        <v>3.125E-2</v>
      </c>
      <c r="BI7" s="610">
        <f>H7/23</f>
        <v>7.3913043478260878E-3</v>
      </c>
      <c r="BJ7" s="610">
        <f>I7/18</f>
        <v>2.0555555555555556E-2</v>
      </c>
      <c r="BK7" s="610">
        <f>J7/39</f>
        <v>5.1282051282051282E-4</v>
      </c>
      <c r="BL7" s="610">
        <f>K7/(24.3/2)</f>
        <v>1.5637860082304525E-3</v>
      </c>
      <c r="BM7" s="610">
        <f>L7/(40/2)</f>
        <v>1.2999999999999999E-3</v>
      </c>
      <c r="BN7" s="563">
        <f>SUM(BF7:BH7)*1000</f>
        <v>34.355633802816897</v>
      </c>
      <c r="BO7" s="563">
        <f>SUM(BI7:BM7)*1000</f>
        <v>31.32346642443261</v>
      </c>
      <c r="BP7" s="611">
        <f>BN7/BO7</f>
        <v>1.0968017823218688</v>
      </c>
      <c r="BR7" s="564">
        <f>1.375*G7</f>
        <v>2.0625</v>
      </c>
      <c r="BS7" s="564">
        <f>1.29*F7</f>
        <v>0.11997000000000001</v>
      </c>
      <c r="BT7" s="564">
        <f>2.5*H7</f>
        <v>0.42500000000000004</v>
      </c>
      <c r="BU7" s="564">
        <f>1.6*AZ7</f>
        <v>2.2399999999999998</v>
      </c>
      <c r="BV7" s="564">
        <f>BA7</f>
        <v>0.38</v>
      </c>
      <c r="BW7" s="564">
        <f>9.19/1000*N7</f>
        <v>8.2710000000000006E-2</v>
      </c>
      <c r="BX7" s="564">
        <f t="shared" ref="BX7:BX20" si="0">Q7/1000*1.4</f>
        <v>3.4999999999999996E-2</v>
      </c>
      <c r="BY7" s="564">
        <f>W7/1000*1.38</f>
        <v>5.2439999999999994E-2</v>
      </c>
      <c r="BZ7" s="564">
        <f>S7/1000*1.67</f>
        <v>3.006E-3</v>
      </c>
      <c r="CA7" s="564">
        <f>SUM(BR7:BZ7)</f>
        <v>5.400625999999999</v>
      </c>
      <c r="CB7" s="611">
        <f>CA7/D7</f>
        <v>1.1740491304347824</v>
      </c>
      <c r="CD7" s="610">
        <f>AZ7/(AZ7+BA7)</f>
        <v>0.7865168539325843</v>
      </c>
      <c r="CE7" s="610">
        <f>BB7/AZ7</f>
        <v>0.54285714285714293</v>
      </c>
      <c r="CF7" s="610">
        <f t="shared" ref="CF7:CF12" si="1">IF(AW7-AV7&gt;0,AW7-AV7,0)</f>
        <v>5.0000000000000017E-2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33">
        <v>8.1999999999999993</v>
      </c>
      <c r="E8" s="34">
        <v>1.4E-2</v>
      </c>
      <c r="F8" s="35">
        <v>0.42</v>
      </c>
      <c r="G8" s="35">
        <v>2</v>
      </c>
      <c r="H8" s="36">
        <v>0.23</v>
      </c>
      <c r="I8" s="35">
        <v>0.63</v>
      </c>
      <c r="J8" s="35">
        <v>5.7000000000000002E-2</v>
      </c>
      <c r="K8" s="35">
        <v>2.9000000000000001E-2</v>
      </c>
      <c r="L8" s="32">
        <v>3.5000000000000003E-2</v>
      </c>
      <c r="M8" s="34">
        <v>93</v>
      </c>
      <c r="N8" s="35">
        <v>5.9</v>
      </c>
      <c r="O8" s="35" t="s">
        <v>232</v>
      </c>
      <c r="P8" s="35">
        <v>29</v>
      </c>
      <c r="Q8" s="35">
        <v>11</v>
      </c>
      <c r="R8" s="35" t="s">
        <v>298</v>
      </c>
      <c r="S8" s="35">
        <v>1.1000000000000001</v>
      </c>
      <c r="T8" s="35">
        <v>14</v>
      </c>
      <c r="U8" s="35">
        <v>0.87</v>
      </c>
      <c r="V8" s="35">
        <v>5.2</v>
      </c>
      <c r="W8" s="35">
        <v>78</v>
      </c>
      <c r="X8" s="35">
        <v>2.7E-2</v>
      </c>
      <c r="Y8" s="35">
        <v>2.5</v>
      </c>
      <c r="Z8" s="35">
        <v>2.4</v>
      </c>
      <c r="AA8" s="35">
        <v>9.6999999999999993</v>
      </c>
      <c r="AB8" s="35">
        <v>0.3</v>
      </c>
      <c r="AC8" s="35">
        <v>0.36</v>
      </c>
      <c r="AD8" s="35">
        <v>5.0999999999999997E-2</v>
      </c>
      <c r="AE8" s="35">
        <v>1.4</v>
      </c>
      <c r="AF8" s="35">
        <v>0.38</v>
      </c>
      <c r="AG8" s="35" t="s">
        <v>333</v>
      </c>
      <c r="AH8" s="35">
        <v>1.9</v>
      </c>
      <c r="AI8" s="35">
        <v>2.8000000000000001E-2</v>
      </c>
      <c r="AJ8" s="35">
        <v>8.2000000000000003E-2</v>
      </c>
      <c r="AK8" s="35" t="s">
        <v>333</v>
      </c>
      <c r="AL8" s="33" t="s">
        <v>73</v>
      </c>
      <c r="AM8" s="33">
        <v>0.34</v>
      </c>
      <c r="AN8" s="33" t="s">
        <v>253</v>
      </c>
      <c r="AO8" s="33" t="s">
        <v>561</v>
      </c>
      <c r="AP8" s="35">
        <v>0.89</v>
      </c>
      <c r="AQ8" s="32"/>
      <c r="AR8" s="34" t="s">
        <v>545</v>
      </c>
      <c r="AS8" s="36">
        <v>1.1000000000000001</v>
      </c>
      <c r="AT8" s="36">
        <v>0.8</v>
      </c>
      <c r="AU8" s="36">
        <v>0.4</v>
      </c>
      <c r="AV8" s="36">
        <v>0.32</v>
      </c>
      <c r="AW8" s="35">
        <v>0.9</v>
      </c>
      <c r="AX8" s="33">
        <v>0.49</v>
      </c>
      <c r="AY8" s="33">
        <v>0.04</v>
      </c>
      <c r="AZ8" s="33">
        <v>2.6</v>
      </c>
      <c r="BA8" s="33">
        <v>1.1000000000000001</v>
      </c>
      <c r="BB8" s="32">
        <v>2.1</v>
      </c>
      <c r="BC8" s="619">
        <f t="shared" ref="BC8:BC20" si="3">SUM(AR8:AV8)/AZ8</f>
        <v>1.0076923076923077</v>
      </c>
      <c r="BD8" s="610">
        <f t="shared" ref="BD8:BD20" si="4">(SUM(AW8:AY8)-AV8)/BA8</f>
        <v>1.009090909090909</v>
      </c>
      <c r="BF8" s="610">
        <f t="shared" ref="BF8:BF20" si="5">E8/35.5</f>
        <v>3.9436619718309862E-4</v>
      </c>
      <c r="BG8" s="610">
        <f t="shared" ref="BG8:BG20" si="6">F8/62</f>
        <v>6.7741935483870966E-3</v>
      </c>
      <c r="BH8" s="610">
        <f t="shared" ref="BH8:BH20" si="7">G8/(96/2)</f>
        <v>4.1666666666666664E-2</v>
      </c>
      <c r="BI8" s="610">
        <f t="shared" ref="BI8:BI20" si="8">H8/23</f>
        <v>0.01</v>
      </c>
      <c r="BJ8" s="610">
        <f t="shared" ref="BJ8:BJ20" si="9">I8/18</f>
        <v>3.5000000000000003E-2</v>
      </c>
      <c r="BK8" s="610">
        <f t="shared" ref="BK8:BK20" si="10">J8/39</f>
        <v>1.4615384615384616E-3</v>
      </c>
      <c r="BL8" s="610">
        <f t="shared" ref="BL8:BL20" si="11">K8/(24.3/2)</f>
        <v>2.3868312757201649E-3</v>
      </c>
      <c r="BM8" s="610">
        <f t="shared" ref="BM8:BM20" si="12">L8/(40/2)</f>
        <v>1.7500000000000003E-3</v>
      </c>
      <c r="BN8" s="563">
        <f t="shared" ref="BN8:BN20" si="13">SUM(BF8:BH8)*1000</f>
        <v>48.835226412236857</v>
      </c>
      <c r="BO8" s="563">
        <f t="shared" ref="BO8:BO20" si="14">SUM(BI8:BM8)*1000</f>
        <v>50.598369737258636</v>
      </c>
      <c r="BP8" s="611">
        <f t="shared" ref="BP8:BP20" si="15">BN8/BO8</f>
        <v>0.96515414757081652</v>
      </c>
      <c r="BR8" s="564">
        <f t="shared" ref="BR8:BR20" si="16">1.375*G8</f>
        <v>2.75</v>
      </c>
      <c r="BS8" s="564">
        <f t="shared" ref="BS8:BS20" si="17">1.29*F8</f>
        <v>0.54179999999999995</v>
      </c>
      <c r="BT8" s="564">
        <f t="shared" ref="BT8:BT20" si="18">2.5*H8</f>
        <v>0.57500000000000007</v>
      </c>
      <c r="BU8" s="564">
        <f t="shared" ref="BU8:BU20" si="19">1.6*AZ8</f>
        <v>4.16</v>
      </c>
      <c r="BV8" s="564">
        <f t="shared" ref="BV8:BV20" si="20">BA8</f>
        <v>1.1000000000000001</v>
      </c>
      <c r="BW8" s="564">
        <f t="shared" ref="BW8:BW20" si="21">9.19/1000*N8</f>
        <v>5.4221000000000005E-2</v>
      </c>
      <c r="BX8" s="564">
        <f t="shared" si="0"/>
        <v>1.5399999999999999E-2</v>
      </c>
      <c r="BY8" s="564">
        <f t="shared" ref="BY8:BY20" si="22">W8/1000*1.38</f>
        <v>0.10763999999999999</v>
      </c>
      <c r="BZ8" s="564">
        <f t="shared" ref="BZ8:BZ20" si="23">S8/1000*1.67</f>
        <v>1.8370000000000001E-3</v>
      </c>
      <c r="CA8" s="564">
        <f t="shared" ref="CA8:CA20" si="24">SUM(BR8:BZ8)</f>
        <v>9.3058979999999991</v>
      </c>
      <c r="CB8" s="611">
        <f t="shared" ref="CB8:CB20" si="25">CA8/D8</f>
        <v>1.1348656097560976</v>
      </c>
      <c r="CD8" s="610">
        <f t="shared" ref="CD8:CD20" si="26">AZ8/(AZ8+BA8)</f>
        <v>0.70270270270270274</v>
      </c>
      <c r="CE8" s="610">
        <f t="shared" ref="CE8:CE20" si="27">BB8/AZ8</f>
        <v>0.80769230769230771</v>
      </c>
      <c r="CF8" s="610">
        <f t="shared" si="1"/>
        <v>0.58000000000000007</v>
      </c>
      <c r="CG8" s="610">
        <f t="shared" si="2"/>
        <v>0.53</v>
      </c>
    </row>
    <row r="9" spans="2:85" ht="20.149999999999999" customHeight="1" x14ac:dyDescent="0.2">
      <c r="B9" s="31" t="s">
        <v>61</v>
      </c>
      <c r="C9" s="37" t="s">
        <v>200</v>
      </c>
      <c r="D9" s="33">
        <v>20.9</v>
      </c>
      <c r="E9" s="34">
        <v>1.2999999999999999E-2</v>
      </c>
      <c r="F9" s="35">
        <v>0.32</v>
      </c>
      <c r="G9" s="35">
        <v>6.3</v>
      </c>
      <c r="H9" s="36">
        <v>0.32</v>
      </c>
      <c r="I9" s="35">
        <v>1.8</v>
      </c>
      <c r="J9" s="35">
        <v>0.15</v>
      </c>
      <c r="K9" s="35">
        <v>7.1999999999999995E-2</v>
      </c>
      <c r="L9" s="32">
        <v>0.12</v>
      </c>
      <c r="M9" s="34">
        <v>190</v>
      </c>
      <c r="N9" s="35">
        <v>21</v>
      </c>
      <c r="O9" s="35" t="s">
        <v>232</v>
      </c>
      <c r="P9" s="35">
        <v>110</v>
      </c>
      <c r="Q9" s="35">
        <v>62</v>
      </c>
      <c r="R9" s="35" t="s">
        <v>298</v>
      </c>
      <c r="S9" s="35">
        <v>3.1</v>
      </c>
      <c r="T9" s="35">
        <v>40</v>
      </c>
      <c r="U9" s="35">
        <v>2</v>
      </c>
      <c r="V9" s="35">
        <v>33</v>
      </c>
      <c r="W9" s="35">
        <v>520</v>
      </c>
      <c r="X9" s="35">
        <v>0.11</v>
      </c>
      <c r="Y9" s="35">
        <v>11</v>
      </c>
      <c r="Z9" s="35">
        <v>4.9000000000000004</v>
      </c>
      <c r="AA9" s="35">
        <v>110</v>
      </c>
      <c r="AB9" s="35">
        <v>0.83</v>
      </c>
      <c r="AC9" s="35">
        <v>2.1</v>
      </c>
      <c r="AD9" s="35">
        <v>0.48</v>
      </c>
      <c r="AE9" s="35">
        <v>2.6</v>
      </c>
      <c r="AF9" s="35">
        <v>0.96</v>
      </c>
      <c r="AG9" s="35">
        <v>0.1</v>
      </c>
      <c r="AH9" s="35">
        <v>2.5</v>
      </c>
      <c r="AI9" s="35">
        <v>9.0999999999999998E-2</v>
      </c>
      <c r="AJ9" s="35">
        <v>0.14000000000000001</v>
      </c>
      <c r="AK9" s="35" t="s">
        <v>333</v>
      </c>
      <c r="AL9" s="33" t="s">
        <v>73</v>
      </c>
      <c r="AM9" s="33">
        <v>0.27</v>
      </c>
      <c r="AN9" s="33" t="s">
        <v>253</v>
      </c>
      <c r="AO9" s="33" t="s">
        <v>561</v>
      </c>
      <c r="AP9" s="35">
        <v>8.8000000000000007</v>
      </c>
      <c r="AQ9" s="32"/>
      <c r="AR9" s="34" t="s">
        <v>545</v>
      </c>
      <c r="AS9" s="36">
        <v>1.7</v>
      </c>
      <c r="AT9" s="36">
        <v>1.2</v>
      </c>
      <c r="AU9" s="36">
        <v>0.76</v>
      </c>
      <c r="AV9" s="36">
        <v>0.84</v>
      </c>
      <c r="AW9" s="35">
        <v>2.5</v>
      </c>
      <c r="AX9" s="33">
        <v>0.68</v>
      </c>
      <c r="AY9" s="33" t="s">
        <v>340</v>
      </c>
      <c r="AZ9" s="33">
        <v>4.5</v>
      </c>
      <c r="BA9" s="33">
        <v>2.2999999999999998</v>
      </c>
      <c r="BB9" s="32">
        <v>3.5</v>
      </c>
      <c r="BC9" s="619">
        <f t="shared" si="3"/>
        <v>1</v>
      </c>
      <c r="BD9" s="610">
        <f t="shared" si="4"/>
        <v>1.0173913043478262</v>
      </c>
      <c r="BF9" s="610">
        <f t="shared" si="5"/>
        <v>3.6619718309859154E-4</v>
      </c>
      <c r="BG9" s="610">
        <f t="shared" si="6"/>
        <v>5.1612903225806452E-3</v>
      </c>
      <c r="BH9" s="610">
        <f t="shared" si="7"/>
        <v>0.13125000000000001</v>
      </c>
      <c r="BI9" s="610">
        <f t="shared" si="8"/>
        <v>1.391304347826087E-2</v>
      </c>
      <c r="BJ9" s="610">
        <f t="shared" si="9"/>
        <v>0.1</v>
      </c>
      <c r="BK9" s="610">
        <f t="shared" si="10"/>
        <v>3.8461538461538459E-3</v>
      </c>
      <c r="BL9" s="610">
        <f t="shared" si="11"/>
        <v>5.9259259259259256E-3</v>
      </c>
      <c r="BM9" s="610">
        <f t="shared" si="12"/>
        <v>6.0000000000000001E-3</v>
      </c>
      <c r="BN9" s="563">
        <f t="shared" si="13"/>
        <v>136.77748750567926</v>
      </c>
      <c r="BO9" s="563">
        <f t="shared" si="14"/>
        <v>129.68512325034064</v>
      </c>
      <c r="BP9" s="611">
        <f t="shared" si="15"/>
        <v>1.0546891121940618</v>
      </c>
      <c r="BR9" s="564">
        <f t="shared" si="16"/>
        <v>8.6624999999999996</v>
      </c>
      <c r="BS9" s="564">
        <f t="shared" si="17"/>
        <v>0.4128</v>
      </c>
      <c r="BT9" s="564">
        <f t="shared" si="18"/>
        <v>0.8</v>
      </c>
      <c r="BU9" s="564">
        <f t="shared" si="19"/>
        <v>7.2</v>
      </c>
      <c r="BV9" s="564">
        <f t="shared" si="20"/>
        <v>2.2999999999999998</v>
      </c>
      <c r="BW9" s="564">
        <f t="shared" si="21"/>
        <v>0.19298999999999999</v>
      </c>
      <c r="BX9" s="564">
        <f t="shared" si="0"/>
        <v>8.6799999999999988E-2</v>
      </c>
      <c r="BY9" s="564">
        <f t="shared" si="22"/>
        <v>0.71760000000000002</v>
      </c>
      <c r="BZ9" s="564">
        <f t="shared" si="23"/>
        <v>5.1769999999999993E-3</v>
      </c>
      <c r="CA9" s="564">
        <f t="shared" si="24"/>
        <v>20.377867000000006</v>
      </c>
      <c r="CB9" s="611">
        <f t="shared" si="25"/>
        <v>0.97501755980861282</v>
      </c>
      <c r="CD9" s="610">
        <f t="shared" si="26"/>
        <v>0.66176470588235292</v>
      </c>
      <c r="CE9" s="610">
        <f t="shared" si="27"/>
        <v>0.77777777777777779</v>
      </c>
      <c r="CF9" s="610">
        <f t="shared" si="1"/>
        <v>1.6600000000000001</v>
      </c>
      <c r="CG9" s="610" t="e">
        <f t="shared" si="2"/>
        <v>#VALUE!</v>
      </c>
    </row>
    <row r="10" spans="2:85" ht="20.149999999999999" customHeight="1" x14ac:dyDescent="0.2">
      <c r="B10" s="31" t="s">
        <v>61</v>
      </c>
      <c r="C10" s="32" t="s">
        <v>82</v>
      </c>
      <c r="D10" s="33">
        <v>25.2</v>
      </c>
      <c r="E10" s="34">
        <v>1.2999999999999999E-2</v>
      </c>
      <c r="F10" s="35">
        <v>0.47</v>
      </c>
      <c r="G10" s="35">
        <v>7.4</v>
      </c>
      <c r="H10" s="36">
        <v>0.4</v>
      </c>
      <c r="I10" s="35">
        <v>2.2999999999999998</v>
      </c>
      <c r="J10" s="35">
        <v>0.16</v>
      </c>
      <c r="K10" s="35">
        <v>6.5000000000000002E-2</v>
      </c>
      <c r="L10" s="32">
        <v>0.13</v>
      </c>
      <c r="M10" s="34">
        <v>360</v>
      </c>
      <c r="N10" s="35">
        <v>26</v>
      </c>
      <c r="O10" s="35" t="s">
        <v>232</v>
      </c>
      <c r="P10" s="35">
        <v>140</v>
      </c>
      <c r="Q10" s="35">
        <v>77</v>
      </c>
      <c r="R10" s="35" t="s">
        <v>298</v>
      </c>
      <c r="S10" s="35">
        <v>4.8</v>
      </c>
      <c r="T10" s="35">
        <v>48</v>
      </c>
      <c r="U10" s="35">
        <v>6.2</v>
      </c>
      <c r="V10" s="35">
        <v>26</v>
      </c>
      <c r="W10" s="35">
        <v>720</v>
      </c>
      <c r="X10" s="35">
        <v>0.17</v>
      </c>
      <c r="Y10" s="35">
        <v>16</v>
      </c>
      <c r="Z10" s="35">
        <v>8.3000000000000007</v>
      </c>
      <c r="AA10" s="35">
        <v>49</v>
      </c>
      <c r="AB10" s="35">
        <v>1.1000000000000001</v>
      </c>
      <c r="AC10" s="35">
        <v>1.3</v>
      </c>
      <c r="AD10" s="35">
        <v>0.27</v>
      </c>
      <c r="AE10" s="35">
        <v>4.8</v>
      </c>
      <c r="AF10" s="35">
        <v>1.3</v>
      </c>
      <c r="AG10" s="35">
        <v>3.7999999999999999E-2</v>
      </c>
      <c r="AH10" s="35">
        <v>5.4</v>
      </c>
      <c r="AI10" s="35">
        <v>0.16</v>
      </c>
      <c r="AJ10" s="35">
        <v>0.16</v>
      </c>
      <c r="AK10" s="35" t="s">
        <v>333</v>
      </c>
      <c r="AL10" s="33" t="s">
        <v>73</v>
      </c>
      <c r="AM10" s="33">
        <v>0.7</v>
      </c>
      <c r="AN10" s="33" t="s">
        <v>253</v>
      </c>
      <c r="AO10" s="33" t="s">
        <v>561</v>
      </c>
      <c r="AP10" s="35">
        <v>5</v>
      </c>
      <c r="AQ10" s="32"/>
      <c r="AR10" s="34" t="s">
        <v>545</v>
      </c>
      <c r="AS10" s="36">
        <v>2.2999999999999998</v>
      </c>
      <c r="AT10" s="36">
        <v>1.6</v>
      </c>
      <c r="AU10" s="36">
        <v>0.9</v>
      </c>
      <c r="AV10" s="36">
        <v>1.2</v>
      </c>
      <c r="AW10" s="35">
        <v>2.8</v>
      </c>
      <c r="AX10" s="33">
        <v>0.51</v>
      </c>
      <c r="AY10" s="33">
        <v>3.9E-2</v>
      </c>
      <c r="AZ10" s="33">
        <v>6</v>
      </c>
      <c r="BA10" s="33">
        <v>2.1</v>
      </c>
      <c r="BB10" s="32">
        <v>4.8</v>
      </c>
      <c r="BC10" s="619">
        <f t="shared" si="3"/>
        <v>1</v>
      </c>
      <c r="BD10" s="610">
        <f t="shared" si="4"/>
        <v>1.0233333333333332</v>
      </c>
      <c r="BF10" s="610">
        <f t="shared" si="5"/>
        <v>3.6619718309859154E-4</v>
      </c>
      <c r="BG10" s="610">
        <f t="shared" si="6"/>
        <v>7.5806451612903218E-3</v>
      </c>
      <c r="BH10" s="610">
        <f t="shared" si="7"/>
        <v>0.15416666666666667</v>
      </c>
      <c r="BI10" s="610">
        <f t="shared" si="8"/>
        <v>1.7391304347826087E-2</v>
      </c>
      <c r="BJ10" s="610">
        <f t="shared" si="9"/>
        <v>0.12777777777777777</v>
      </c>
      <c r="BK10" s="610">
        <f t="shared" si="10"/>
        <v>4.1025641025641026E-3</v>
      </c>
      <c r="BL10" s="610">
        <f t="shared" si="11"/>
        <v>5.3497942386831277E-3</v>
      </c>
      <c r="BM10" s="610">
        <f t="shared" si="12"/>
        <v>6.5000000000000006E-3</v>
      </c>
      <c r="BN10" s="563">
        <f t="shared" si="13"/>
        <v>162.11350901105558</v>
      </c>
      <c r="BO10" s="563">
        <f t="shared" si="14"/>
        <v>161.12144046685108</v>
      </c>
      <c r="BP10" s="611">
        <f t="shared" si="15"/>
        <v>1.0061572720634198</v>
      </c>
      <c r="BR10" s="564">
        <f t="shared" si="16"/>
        <v>10.175000000000001</v>
      </c>
      <c r="BS10" s="564">
        <f t="shared" si="17"/>
        <v>0.60629999999999995</v>
      </c>
      <c r="BT10" s="564">
        <f t="shared" si="18"/>
        <v>1</v>
      </c>
      <c r="BU10" s="564">
        <f t="shared" si="19"/>
        <v>9.6000000000000014</v>
      </c>
      <c r="BV10" s="564">
        <f t="shared" si="20"/>
        <v>2.1</v>
      </c>
      <c r="BW10" s="564">
        <f t="shared" si="21"/>
        <v>0.23894000000000001</v>
      </c>
      <c r="BX10" s="564">
        <f t="shared" si="0"/>
        <v>0.10779999999999999</v>
      </c>
      <c r="BY10" s="564">
        <f t="shared" si="22"/>
        <v>0.99359999999999993</v>
      </c>
      <c r="BZ10" s="564">
        <f t="shared" si="23"/>
        <v>8.0159999999999988E-3</v>
      </c>
      <c r="CA10" s="564">
        <f t="shared" si="24"/>
        <v>24.829656000000007</v>
      </c>
      <c r="CB10" s="611">
        <f t="shared" si="25"/>
        <v>0.9853038095238098</v>
      </c>
      <c r="CD10" s="610">
        <f t="shared" si="26"/>
        <v>0.74074074074074081</v>
      </c>
      <c r="CE10" s="610">
        <f t="shared" si="27"/>
        <v>0.79999999999999993</v>
      </c>
      <c r="CF10" s="610">
        <f t="shared" si="1"/>
        <v>1.5999999999999999</v>
      </c>
      <c r="CG10" s="610">
        <f t="shared" si="2"/>
        <v>0.54900000000000004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35.200000000000003</v>
      </c>
      <c r="E11" s="42">
        <v>1.2E-2</v>
      </c>
      <c r="F11" s="43">
        <v>0.28999999999999998</v>
      </c>
      <c r="G11" s="43">
        <v>12</v>
      </c>
      <c r="H11" s="44">
        <v>0.3</v>
      </c>
      <c r="I11" s="43">
        <v>4.2</v>
      </c>
      <c r="J11" s="43">
        <v>0.21</v>
      </c>
      <c r="K11" s="43">
        <v>0.05</v>
      </c>
      <c r="L11" s="45">
        <v>6.2E-2</v>
      </c>
      <c r="M11" s="42">
        <v>260</v>
      </c>
      <c r="N11" s="43">
        <v>37</v>
      </c>
      <c r="O11" s="43" t="s">
        <v>232</v>
      </c>
      <c r="P11" s="43">
        <v>200</v>
      </c>
      <c r="Q11" s="43">
        <v>50</v>
      </c>
      <c r="R11" s="43" t="s">
        <v>298</v>
      </c>
      <c r="S11" s="43">
        <v>3.6</v>
      </c>
      <c r="T11" s="43">
        <v>24</v>
      </c>
      <c r="U11" s="43">
        <v>5.6</v>
      </c>
      <c r="V11" s="43">
        <v>12</v>
      </c>
      <c r="W11" s="43">
        <v>430</v>
      </c>
      <c r="X11" s="43">
        <v>0.11</v>
      </c>
      <c r="Y11" s="43">
        <v>9.1</v>
      </c>
      <c r="Z11" s="43">
        <v>6.7</v>
      </c>
      <c r="AA11" s="43">
        <v>56</v>
      </c>
      <c r="AB11" s="43">
        <v>0.85</v>
      </c>
      <c r="AC11" s="43">
        <v>2.5</v>
      </c>
      <c r="AD11" s="43">
        <v>0.37</v>
      </c>
      <c r="AE11" s="43">
        <v>5.0999999999999996</v>
      </c>
      <c r="AF11" s="43">
        <v>1.5</v>
      </c>
      <c r="AG11" s="43">
        <v>0.08</v>
      </c>
      <c r="AH11" s="43">
        <v>9.5</v>
      </c>
      <c r="AI11" s="43">
        <v>0.36</v>
      </c>
      <c r="AJ11" s="43">
        <v>0.23</v>
      </c>
      <c r="AK11" s="43" t="s">
        <v>333</v>
      </c>
      <c r="AL11" s="41" t="s">
        <v>73</v>
      </c>
      <c r="AM11" s="41">
        <v>0.79</v>
      </c>
      <c r="AN11" s="41" t="s">
        <v>253</v>
      </c>
      <c r="AO11" s="41" t="s">
        <v>561</v>
      </c>
      <c r="AP11" s="43">
        <v>9.6999999999999993</v>
      </c>
      <c r="AQ11" s="45"/>
      <c r="AR11" s="42" t="s">
        <v>545</v>
      </c>
      <c r="AS11" s="44">
        <v>3.1</v>
      </c>
      <c r="AT11" s="44">
        <v>1.5</v>
      </c>
      <c r="AU11" s="44">
        <v>1.1000000000000001</v>
      </c>
      <c r="AV11" s="44">
        <v>2.4</v>
      </c>
      <c r="AW11" s="43">
        <v>3.9</v>
      </c>
      <c r="AX11" s="41">
        <v>0.66</v>
      </c>
      <c r="AY11" s="41">
        <v>0.04</v>
      </c>
      <c r="AZ11" s="41">
        <v>8.1</v>
      </c>
      <c r="BA11" s="41">
        <v>2.2000000000000002</v>
      </c>
      <c r="BB11" s="45">
        <v>7.2</v>
      </c>
      <c r="BC11" s="620">
        <f t="shared" si="3"/>
        <v>1</v>
      </c>
      <c r="BD11" s="617">
        <f t="shared" si="4"/>
        <v>0.99999999999999978</v>
      </c>
      <c r="BE11" s="616"/>
      <c r="BF11" s="617">
        <f t="shared" si="5"/>
        <v>3.380281690140845E-4</v>
      </c>
      <c r="BG11" s="617">
        <f t="shared" si="6"/>
        <v>4.6774193548387091E-3</v>
      </c>
      <c r="BH11" s="617">
        <f t="shared" si="7"/>
        <v>0.25</v>
      </c>
      <c r="BI11" s="617">
        <f t="shared" si="8"/>
        <v>1.3043478260869565E-2</v>
      </c>
      <c r="BJ11" s="617">
        <f t="shared" si="9"/>
        <v>0.23333333333333334</v>
      </c>
      <c r="BK11" s="617">
        <f t="shared" si="10"/>
        <v>5.3846153846153844E-3</v>
      </c>
      <c r="BL11" s="617">
        <f t="shared" si="11"/>
        <v>4.11522633744856E-3</v>
      </c>
      <c r="BM11" s="617">
        <f t="shared" si="12"/>
        <v>3.0999999999999999E-3</v>
      </c>
      <c r="BN11" s="621">
        <f t="shared" si="13"/>
        <v>255.0154475238528</v>
      </c>
      <c r="BO11" s="621">
        <f t="shared" si="14"/>
        <v>258.97665331626683</v>
      </c>
      <c r="BP11" s="618">
        <f t="shared" si="15"/>
        <v>0.98470439036998236</v>
      </c>
      <c r="BQ11" s="616"/>
      <c r="BR11" s="615">
        <f t="shared" si="16"/>
        <v>16.5</v>
      </c>
      <c r="BS11" s="615">
        <f t="shared" si="17"/>
        <v>0.37409999999999999</v>
      </c>
      <c r="BT11" s="615">
        <f t="shared" si="18"/>
        <v>0.75</v>
      </c>
      <c r="BU11" s="615">
        <f t="shared" si="19"/>
        <v>12.96</v>
      </c>
      <c r="BV11" s="615">
        <f t="shared" si="20"/>
        <v>2.2000000000000002</v>
      </c>
      <c r="BW11" s="615">
        <f t="shared" si="21"/>
        <v>0.34003</v>
      </c>
      <c r="BX11" s="615">
        <f t="shared" si="0"/>
        <v>6.9999999999999993E-2</v>
      </c>
      <c r="BY11" s="615">
        <f t="shared" si="22"/>
        <v>0.59339999999999993</v>
      </c>
      <c r="BZ11" s="615">
        <f t="shared" si="23"/>
        <v>6.012E-3</v>
      </c>
      <c r="CA11" s="615">
        <f t="shared" si="24"/>
        <v>33.793542000000002</v>
      </c>
      <c r="CB11" s="618">
        <f t="shared" si="25"/>
        <v>0.9600438068181818</v>
      </c>
      <c r="CC11" s="617"/>
      <c r="CD11" s="617">
        <f t="shared" si="26"/>
        <v>0.78640776699029113</v>
      </c>
      <c r="CE11" s="617">
        <f t="shared" si="27"/>
        <v>0.88888888888888895</v>
      </c>
      <c r="CF11" s="617">
        <f t="shared" si="1"/>
        <v>1.5</v>
      </c>
      <c r="CG11" s="617">
        <f t="shared" si="2"/>
        <v>0.70000000000000007</v>
      </c>
    </row>
    <row r="12" spans="2:85" ht="20.149999999999999" customHeight="1" x14ac:dyDescent="0.2">
      <c r="B12" s="31" t="s">
        <v>202</v>
      </c>
      <c r="C12" s="46" t="s">
        <v>203</v>
      </c>
      <c r="D12" s="47">
        <v>15.6</v>
      </c>
      <c r="E12" s="630">
        <f t="shared" ref="E12:E18" si="28">0.5*0.01</f>
        <v>5.0000000000000001E-3</v>
      </c>
      <c r="F12" s="49">
        <v>0.11</v>
      </c>
      <c r="G12" s="49">
        <v>5.5</v>
      </c>
      <c r="H12" s="50">
        <v>0.44</v>
      </c>
      <c r="I12" s="49">
        <v>1.5</v>
      </c>
      <c r="J12" s="49">
        <v>9.0999999999999998E-2</v>
      </c>
      <c r="K12" s="49">
        <v>6.8000000000000005E-2</v>
      </c>
      <c r="L12" s="37">
        <v>7.9000000000000001E-2</v>
      </c>
      <c r="M12" s="48">
        <v>400</v>
      </c>
      <c r="N12" s="49">
        <v>24</v>
      </c>
      <c r="O12" s="49" t="s">
        <v>232</v>
      </c>
      <c r="P12" s="49">
        <v>70</v>
      </c>
      <c r="Q12" s="49">
        <v>58</v>
      </c>
      <c r="R12" s="625">
        <f t="shared" ref="R12:R18" si="29">0.5*0.012</f>
        <v>6.0000000000000001E-3</v>
      </c>
      <c r="S12" s="49">
        <v>3.2</v>
      </c>
      <c r="T12" s="49">
        <v>18</v>
      </c>
      <c r="U12" s="49">
        <v>2.9</v>
      </c>
      <c r="V12" s="49">
        <v>8.3000000000000007</v>
      </c>
      <c r="W12" s="49">
        <v>170</v>
      </c>
      <c r="X12" s="49">
        <v>5.8999999999999997E-2</v>
      </c>
      <c r="Y12" s="49">
        <v>6.5</v>
      </c>
      <c r="Z12" s="49">
        <v>3</v>
      </c>
      <c r="AA12" s="49">
        <v>26</v>
      </c>
      <c r="AB12" s="49">
        <v>0.39</v>
      </c>
      <c r="AC12" s="49">
        <v>0.82</v>
      </c>
      <c r="AD12" s="49">
        <v>0.14000000000000001</v>
      </c>
      <c r="AE12" s="49">
        <v>1.1000000000000001</v>
      </c>
      <c r="AF12" s="49">
        <v>0.62</v>
      </c>
      <c r="AG12" s="49">
        <v>1.9E-2</v>
      </c>
      <c r="AH12" s="49">
        <v>3.2</v>
      </c>
      <c r="AI12" s="49">
        <v>0.23</v>
      </c>
      <c r="AJ12" s="49">
        <v>6.7000000000000004E-2</v>
      </c>
      <c r="AK12" s="625">
        <f t="shared" ref="AK12:AK18" si="30">0.5*0.014</f>
        <v>7.0000000000000001E-3</v>
      </c>
      <c r="AL12" s="627">
        <f t="shared" ref="AL12:AL18" si="31">0.5*0.018</f>
        <v>8.9999999999999993E-3</v>
      </c>
      <c r="AM12" s="47">
        <v>0.24</v>
      </c>
      <c r="AN12" s="627">
        <f t="shared" ref="AN12:AN18" si="32">0.5*0.03</f>
        <v>1.4999999999999999E-2</v>
      </c>
      <c r="AO12" s="627">
        <f t="shared" ref="AO12:AO18" si="33">0.5*0.0078</f>
        <v>3.8999999999999998E-3</v>
      </c>
      <c r="AP12" s="49">
        <v>4.4000000000000004</v>
      </c>
      <c r="AQ12" s="37"/>
      <c r="AR12" s="630">
        <f t="shared" ref="AR12:AR18" si="34">0.5*0.044</f>
        <v>2.1999999999999999E-2</v>
      </c>
      <c r="AS12" s="50">
        <v>1.5</v>
      </c>
      <c r="AT12" s="50">
        <v>0.93</v>
      </c>
      <c r="AU12" s="50">
        <v>0.5</v>
      </c>
      <c r="AV12" s="50">
        <v>0.86</v>
      </c>
      <c r="AW12" s="49">
        <v>1.6</v>
      </c>
      <c r="AX12" s="47">
        <v>0.56000000000000005</v>
      </c>
      <c r="AY12" s="47">
        <v>6.2E-2</v>
      </c>
      <c r="AZ12" s="47">
        <v>3.8</v>
      </c>
      <c r="BA12" s="47">
        <v>1.4</v>
      </c>
      <c r="BB12" s="37">
        <v>2.8</v>
      </c>
      <c r="BC12" s="619">
        <f t="shared" si="3"/>
        <v>1.003157894736842</v>
      </c>
      <c r="BD12" s="610">
        <f t="shared" si="4"/>
        <v>0.97285714285714298</v>
      </c>
      <c r="BF12" s="610">
        <f t="shared" si="5"/>
        <v>1.4084507042253522E-4</v>
      </c>
      <c r="BG12" s="610">
        <f t="shared" si="6"/>
        <v>1.7741935483870969E-3</v>
      </c>
      <c r="BH12" s="610">
        <f t="shared" si="7"/>
        <v>0.11458333333333333</v>
      </c>
      <c r="BI12" s="610">
        <f t="shared" si="8"/>
        <v>1.9130434782608695E-2</v>
      </c>
      <c r="BJ12" s="610">
        <f t="shared" si="9"/>
        <v>8.3333333333333329E-2</v>
      </c>
      <c r="BK12" s="610">
        <f t="shared" si="10"/>
        <v>2.3333333333333331E-3</v>
      </c>
      <c r="BL12" s="610">
        <f t="shared" si="11"/>
        <v>5.5967078189300412E-3</v>
      </c>
      <c r="BM12" s="610">
        <f t="shared" si="12"/>
        <v>3.9500000000000004E-3</v>
      </c>
      <c r="BN12" s="563">
        <f t="shared" si="13"/>
        <v>116.49837195214296</v>
      </c>
      <c r="BO12" s="563">
        <f t="shared" si="14"/>
        <v>114.34380926820538</v>
      </c>
      <c r="BP12" s="611">
        <f t="shared" si="15"/>
        <v>1.0188428450803473</v>
      </c>
      <c r="BR12" s="564">
        <f t="shared" si="16"/>
        <v>7.5625</v>
      </c>
      <c r="BS12" s="564">
        <f t="shared" si="17"/>
        <v>0.1419</v>
      </c>
      <c r="BT12" s="564">
        <f t="shared" si="18"/>
        <v>1.1000000000000001</v>
      </c>
      <c r="BU12" s="564">
        <f t="shared" si="19"/>
        <v>6.08</v>
      </c>
      <c r="BV12" s="564">
        <f t="shared" si="20"/>
        <v>1.4</v>
      </c>
      <c r="BW12" s="564">
        <f t="shared" si="21"/>
        <v>0.22056000000000001</v>
      </c>
      <c r="BX12" s="564">
        <f t="shared" si="0"/>
        <v>8.1199999999999994E-2</v>
      </c>
      <c r="BY12" s="564">
        <f t="shared" si="22"/>
        <v>0.2346</v>
      </c>
      <c r="BZ12" s="564">
        <f t="shared" si="23"/>
        <v>5.3439999999999998E-3</v>
      </c>
      <c r="CA12" s="564">
        <f t="shared" si="24"/>
        <v>16.826103999999997</v>
      </c>
      <c r="CB12" s="611">
        <f t="shared" si="25"/>
        <v>1.0785964102564101</v>
      </c>
      <c r="CC12" s="610"/>
      <c r="CD12" s="610">
        <f t="shared" si="26"/>
        <v>0.73076923076923084</v>
      </c>
      <c r="CE12" s="610">
        <f t="shared" si="27"/>
        <v>0.73684210526315785</v>
      </c>
      <c r="CF12" s="610">
        <f t="shared" si="1"/>
        <v>0.7400000000000001</v>
      </c>
      <c r="CG12" s="610">
        <f t="shared" si="2"/>
        <v>0.62200000000000011</v>
      </c>
    </row>
    <row r="13" spans="2:85" ht="20.149999999999999" customHeight="1" x14ac:dyDescent="0.2">
      <c r="B13" s="31" t="s">
        <v>202</v>
      </c>
      <c r="C13" s="40" t="s">
        <v>204</v>
      </c>
      <c r="D13" s="33">
        <v>23.9</v>
      </c>
      <c r="E13" s="623">
        <f t="shared" si="28"/>
        <v>5.0000000000000001E-3</v>
      </c>
      <c r="F13" s="35">
        <v>8.7999999999999995E-2</v>
      </c>
      <c r="G13" s="35">
        <v>9.8000000000000007</v>
      </c>
      <c r="H13" s="36">
        <v>0.31</v>
      </c>
      <c r="I13" s="35">
        <v>3.3</v>
      </c>
      <c r="J13" s="35">
        <v>0.12</v>
      </c>
      <c r="K13" s="35">
        <v>5.0999999999999997E-2</v>
      </c>
      <c r="L13" s="32">
        <v>6.8000000000000005E-2</v>
      </c>
      <c r="M13" s="34">
        <v>270</v>
      </c>
      <c r="N13" s="35">
        <v>28</v>
      </c>
      <c r="O13" s="35" t="s">
        <v>232</v>
      </c>
      <c r="P13" s="35">
        <v>86</v>
      </c>
      <c r="Q13" s="35">
        <v>59</v>
      </c>
      <c r="R13" s="624">
        <f t="shared" si="29"/>
        <v>6.0000000000000001E-3</v>
      </c>
      <c r="S13" s="35">
        <v>3</v>
      </c>
      <c r="T13" s="35">
        <v>18</v>
      </c>
      <c r="U13" s="35">
        <v>1.6</v>
      </c>
      <c r="V13" s="35">
        <v>9.1</v>
      </c>
      <c r="W13" s="35">
        <v>160</v>
      </c>
      <c r="X13" s="35">
        <v>7.1999999999999995E-2</v>
      </c>
      <c r="Y13" s="35">
        <v>6.2</v>
      </c>
      <c r="Z13" s="35">
        <v>3.1</v>
      </c>
      <c r="AA13" s="35">
        <v>32</v>
      </c>
      <c r="AB13" s="35">
        <v>1.1000000000000001</v>
      </c>
      <c r="AC13" s="35">
        <v>1.2</v>
      </c>
      <c r="AD13" s="35">
        <v>0.27</v>
      </c>
      <c r="AE13" s="35">
        <v>0.71</v>
      </c>
      <c r="AF13" s="35">
        <v>0.99</v>
      </c>
      <c r="AG13" s="35">
        <v>3.9E-2</v>
      </c>
      <c r="AH13" s="35">
        <v>2.6</v>
      </c>
      <c r="AI13" s="35">
        <v>0.18</v>
      </c>
      <c r="AJ13" s="35">
        <v>0.13</v>
      </c>
      <c r="AK13" s="624">
        <f t="shared" si="30"/>
        <v>7.0000000000000001E-3</v>
      </c>
      <c r="AL13" s="628">
        <f t="shared" si="31"/>
        <v>8.9999999999999993E-3</v>
      </c>
      <c r="AM13" s="33">
        <v>0.23</v>
      </c>
      <c r="AN13" s="628">
        <f t="shared" si="32"/>
        <v>1.4999999999999999E-2</v>
      </c>
      <c r="AO13" s="628">
        <f t="shared" si="33"/>
        <v>3.8999999999999998E-3</v>
      </c>
      <c r="AP13" s="35">
        <v>6.3</v>
      </c>
      <c r="AQ13" s="32"/>
      <c r="AR13" s="623">
        <f t="shared" si="34"/>
        <v>2.1999999999999999E-2</v>
      </c>
      <c r="AS13" s="36">
        <v>1.9</v>
      </c>
      <c r="AT13" s="36">
        <v>0.95</v>
      </c>
      <c r="AU13" s="36">
        <v>0.59</v>
      </c>
      <c r="AV13" s="36">
        <v>1.2</v>
      </c>
      <c r="AW13" s="35">
        <v>2.4</v>
      </c>
      <c r="AX13" s="33">
        <v>0.57999999999999996</v>
      </c>
      <c r="AY13" s="33">
        <v>5.3999999999999999E-2</v>
      </c>
      <c r="AZ13" s="33">
        <v>4.5999999999999996</v>
      </c>
      <c r="BA13" s="33">
        <v>1.8</v>
      </c>
      <c r="BB13" s="32">
        <v>4.2</v>
      </c>
      <c r="BC13" s="619">
        <f t="shared" si="3"/>
        <v>1.0134782608695654</v>
      </c>
      <c r="BD13" s="610">
        <f t="shared" si="4"/>
        <v>1.0188888888888887</v>
      </c>
      <c r="BF13" s="610">
        <f t="shared" si="5"/>
        <v>1.4084507042253522E-4</v>
      </c>
      <c r="BG13" s="610">
        <f t="shared" si="6"/>
        <v>1.4193548387096773E-3</v>
      </c>
      <c r="BH13" s="610">
        <f t="shared" si="7"/>
        <v>0.20416666666666669</v>
      </c>
      <c r="BI13" s="610">
        <f t="shared" si="8"/>
        <v>1.3478260869565217E-2</v>
      </c>
      <c r="BJ13" s="610">
        <f t="shared" si="9"/>
        <v>0.18333333333333332</v>
      </c>
      <c r="BK13" s="610">
        <f t="shared" si="10"/>
        <v>3.0769230769230769E-3</v>
      </c>
      <c r="BL13" s="610">
        <f t="shared" si="11"/>
        <v>4.19753086419753E-3</v>
      </c>
      <c r="BM13" s="610">
        <f t="shared" si="12"/>
        <v>3.4000000000000002E-3</v>
      </c>
      <c r="BN13" s="563">
        <f t="shared" si="13"/>
        <v>205.72686657579891</v>
      </c>
      <c r="BO13" s="563">
        <f t="shared" si="14"/>
        <v>207.48604814401915</v>
      </c>
      <c r="BP13" s="611">
        <f t="shared" si="15"/>
        <v>0.99152144645890039</v>
      </c>
      <c r="BR13" s="564">
        <f t="shared" si="16"/>
        <v>13.475000000000001</v>
      </c>
      <c r="BS13" s="564">
        <f t="shared" si="17"/>
        <v>0.11352</v>
      </c>
      <c r="BT13" s="564">
        <f t="shared" si="18"/>
        <v>0.77500000000000002</v>
      </c>
      <c r="BU13" s="564">
        <f t="shared" si="19"/>
        <v>7.3599999999999994</v>
      </c>
      <c r="BV13" s="564">
        <f t="shared" si="20"/>
        <v>1.8</v>
      </c>
      <c r="BW13" s="564">
        <f t="shared" si="21"/>
        <v>0.25731999999999999</v>
      </c>
      <c r="BX13" s="564">
        <f t="shared" si="0"/>
        <v>8.2599999999999993E-2</v>
      </c>
      <c r="BY13" s="564">
        <f t="shared" si="22"/>
        <v>0.2208</v>
      </c>
      <c r="BZ13" s="564">
        <f t="shared" si="23"/>
        <v>5.0099999999999997E-3</v>
      </c>
      <c r="CA13" s="564">
        <f t="shared" si="24"/>
        <v>24.08925</v>
      </c>
      <c r="CB13" s="611">
        <f t="shared" si="25"/>
        <v>1.007918410041841</v>
      </c>
      <c r="CC13" s="610"/>
      <c r="CD13" s="610">
        <f t="shared" si="26"/>
        <v>0.71875</v>
      </c>
      <c r="CE13" s="610">
        <f t="shared" si="27"/>
        <v>0.91304347826086962</v>
      </c>
      <c r="CF13" s="610">
        <f t="shared" ref="CF13:CF20" si="35">IF(AW13-AV13&gt;0,AW13-AV13,0)</f>
        <v>1.2</v>
      </c>
      <c r="CG13" s="610">
        <f t="shared" ref="CG13:CG20" si="36">IF(AW13-AV13&gt;0,AX13+AY13,AW13+AX13+AY13-AV13)</f>
        <v>0.63400000000000001</v>
      </c>
    </row>
    <row r="14" spans="2:85" ht="20.149999999999999" customHeight="1" x14ac:dyDescent="0.2">
      <c r="B14" s="31" t="s">
        <v>202</v>
      </c>
      <c r="C14" s="32" t="s">
        <v>205</v>
      </c>
      <c r="D14" s="33">
        <v>21</v>
      </c>
      <c r="E14" s="623">
        <f t="shared" si="28"/>
        <v>5.0000000000000001E-3</v>
      </c>
      <c r="F14" s="35">
        <v>9.4E-2</v>
      </c>
      <c r="G14" s="35">
        <v>9</v>
      </c>
      <c r="H14" s="36">
        <v>0.23</v>
      </c>
      <c r="I14" s="35">
        <v>3.1</v>
      </c>
      <c r="J14" s="35">
        <v>8.3000000000000004E-2</v>
      </c>
      <c r="K14" s="35">
        <v>3.1E-2</v>
      </c>
      <c r="L14" s="32">
        <v>5.0999999999999997E-2</v>
      </c>
      <c r="M14" s="34">
        <v>130</v>
      </c>
      <c r="N14" s="35">
        <v>7.6</v>
      </c>
      <c r="O14" s="35" t="s">
        <v>232</v>
      </c>
      <c r="P14" s="35">
        <v>56</v>
      </c>
      <c r="Q14" s="35">
        <v>21</v>
      </c>
      <c r="R14" s="624">
        <f t="shared" si="29"/>
        <v>6.0000000000000001E-3</v>
      </c>
      <c r="S14" s="35">
        <v>2.1</v>
      </c>
      <c r="T14" s="35">
        <v>14</v>
      </c>
      <c r="U14" s="35">
        <v>0.73</v>
      </c>
      <c r="V14" s="35">
        <v>4.5999999999999996</v>
      </c>
      <c r="W14" s="35">
        <v>70</v>
      </c>
      <c r="X14" s="35">
        <v>3.4000000000000002E-2</v>
      </c>
      <c r="Y14" s="35">
        <v>3.3</v>
      </c>
      <c r="Z14" s="35">
        <v>2.5</v>
      </c>
      <c r="AA14" s="35">
        <v>19</v>
      </c>
      <c r="AB14" s="35">
        <v>0.54</v>
      </c>
      <c r="AC14" s="35">
        <v>0.69</v>
      </c>
      <c r="AD14" s="35">
        <v>0.11</v>
      </c>
      <c r="AE14" s="35">
        <v>0.5</v>
      </c>
      <c r="AF14" s="35">
        <v>0.54</v>
      </c>
      <c r="AG14" s="624">
        <f>0.5*0.014</f>
        <v>7.0000000000000001E-3</v>
      </c>
      <c r="AH14" s="35">
        <v>1</v>
      </c>
      <c r="AI14" s="35">
        <v>5.1999999999999998E-2</v>
      </c>
      <c r="AJ14" s="35">
        <v>7.3999999999999996E-2</v>
      </c>
      <c r="AK14" s="624">
        <f t="shared" si="30"/>
        <v>7.0000000000000001E-3</v>
      </c>
      <c r="AL14" s="628">
        <f t="shared" si="31"/>
        <v>8.9999999999999993E-3</v>
      </c>
      <c r="AM14" s="33">
        <v>0.16</v>
      </c>
      <c r="AN14" s="628">
        <f t="shared" si="32"/>
        <v>1.4999999999999999E-2</v>
      </c>
      <c r="AO14" s="628">
        <f t="shared" si="33"/>
        <v>3.8999999999999998E-3</v>
      </c>
      <c r="AP14" s="35">
        <v>1.9</v>
      </c>
      <c r="AQ14" s="32"/>
      <c r="AR14" s="623">
        <f t="shared" si="34"/>
        <v>2.1999999999999999E-2</v>
      </c>
      <c r="AS14" s="36">
        <v>1.7</v>
      </c>
      <c r="AT14" s="36">
        <v>0.81</v>
      </c>
      <c r="AU14" s="36">
        <v>0.45</v>
      </c>
      <c r="AV14" s="36">
        <v>1.1000000000000001</v>
      </c>
      <c r="AW14" s="35">
        <v>1.9</v>
      </c>
      <c r="AX14" s="33">
        <v>0.67</v>
      </c>
      <c r="AY14" s="33">
        <v>5.3999999999999999E-2</v>
      </c>
      <c r="AZ14" s="33">
        <v>4.0999999999999996</v>
      </c>
      <c r="BA14" s="33">
        <v>1.5</v>
      </c>
      <c r="BB14" s="32">
        <v>2.9</v>
      </c>
      <c r="BC14" s="619">
        <f t="shared" si="3"/>
        <v>0.99560975609756119</v>
      </c>
      <c r="BD14" s="610">
        <f t="shared" si="4"/>
        <v>1.0159999999999998</v>
      </c>
      <c r="BF14" s="610">
        <f t="shared" si="5"/>
        <v>1.4084507042253522E-4</v>
      </c>
      <c r="BG14" s="610">
        <f t="shared" si="6"/>
        <v>1.5161290322580644E-3</v>
      </c>
      <c r="BH14" s="610">
        <f t="shared" si="7"/>
        <v>0.1875</v>
      </c>
      <c r="BI14" s="610">
        <f t="shared" si="8"/>
        <v>0.01</v>
      </c>
      <c r="BJ14" s="610">
        <f t="shared" si="9"/>
        <v>0.17222222222222222</v>
      </c>
      <c r="BK14" s="610">
        <f t="shared" si="10"/>
        <v>2.1282051282051281E-3</v>
      </c>
      <c r="BL14" s="610">
        <f t="shared" si="11"/>
        <v>2.5514403292181071E-3</v>
      </c>
      <c r="BM14" s="610">
        <f t="shared" si="12"/>
        <v>2.5499999999999997E-3</v>
      </c>
      <c r="BN14" s="563">
        <f t="shared" si="13"/>
        <v>189.15697410268058</v>
      </c>
      <c r="BO14" s="563">
        <f t="shared" si="14"/>
        <v>189.45186767964549</v>
      </c>
      <c r="BP14" s="611">
        <f t="shared" si="15"/>
        <v>0.99844343800577595</v>
      </c>
      <c r="BR14" s="564">
        <f t="shared" si="16"/>
        <v>12.375</v>
      </c>
      <c r="BS14" s="564">
        <f t="shared" si="17"/>
        <v>0.12126000000000001</v>
      </c>
      <c r="BT14" s="564">
        <f t="shared" si="18"/>
        <v>0.57500000000000007</v>
      </c>
      <c r="BU14" s="564">
        <f t="shared" si="19"/>
        <v>6.56</v>
      </c>
      <c r="BV14" s="564">
        <f t="shared" si="20"/>
        <v>1.5</v>
      </c>
      <c r="BW14" s="564">
        <f t="shared" si="21"/>
        <v>6.9844000000000003E-2</v>
      </c>
      <c r="BX14" s="564">
        <f t="shared" si="0"/>
        <v>2.9399999999999999E-2</v>
      </c>
      <c r="BY14" s="564">
        <f t="shared" si="22"/>
        <v>9.6600000000000005E-2</v>
      </c>
      <c r="BZ14" s="564">
        <f t="shared" si="23"/>
        <v>3.5070000000000006E-3</v>
      </c>
      <c r="CA14" s="564">
        <f t="shared" si="24"/>
        <v>21.330610999999994</v>
      </c>
      <c r="CB14" s="611">
        <f t="shared" si="25"/>
        <v>1.0157433809523806</v>
      </c>
      <c r="CC14" s="610"/>
      <c r="CD14" s="610">
        <f t="shared" si="26"/>
        <v>0.7321428571428571</v>
      </c>
      <c r="CE14" s="610">
        <f t="shared" si="27"/>
        <v>0.70731707317073178</v>
      </c>
      <c r="CF14" s="610">
        <f t="shared" si="35"/>
        <v>0.79999999999999982</v>
      </c>
      <c r="CG14" s="610">
        <f t="shared" si="36"/>
        <v>0.72400000000000009</v>
      </c>
    </row>
    <row r="15" spans="2:85" ht="20.149999999999999" customHeight="1" x14ac:dyDescent="0.2">
      <c r="B15" s="31" t="s">
        <v>202</v>
      </c>
      <c r="C15" s="32" t="s">
        <v>206</v>
      </c>
      <c r="D15" s="33">
        <v>25.6</v>
      </c>
      <c r="E15" s="623">
        <f t="shared" si="28"/>
        <v>5.0000000000000001E-3</v>
      </c>
      <c r="F15" s="35">
        <v>0.24</v>
      </c>
      <c r="G15" s="35">
        <v>13</v>
      </c>
      <c r="H15" s="36">
        <v>0.17</v>
      </c>
      <c r="I15" s="35">
        <v>4.4000000000000004</v>
      </c>
      <c r="J15" s="35">
        <v>9.4E-2</v>
      </c>
      <c r="K15" s="35">
        <v>3.1E-2</v>
      </c>
      <c r="L15" s="32">
        <v>6.3E-2</v>
      </c>
      <c r="M15" s="34">
        <v>170</v>
      </c>
      <c r="N15" s="35">
        <v>20</v>
      </c>
      <c r="O15" s="35" t="s">
        <v>232</v>
      </c>
      <c r="P15" s="35">
        <v>89</v>
      </c>
      <c r="Q15" s="35">
        <v>47</v>
      </c>
      <c r="R15" s="624">
        <f t="shared" si="29"/>
        <v>6.0000000000000001E-3</v>
      </c>
      <c r="S15" s="35">
        <v>3.1</v>
      </c>
      <c r="T15" s="35">
        <v>29</v>
      </c>
      <c r="U15" s="35">
        <v>3</v>
      </c>
      <c r="V15" s="35">
        <v>12</v>
      </c>
      <c r="W15" s="35">
        <v>170</v>
      </c>
      <c r="X15" s="35">
        <v>0.13</v>
      </c>
      <c r="Y15" s="35">
        <v>9.8000000000000007</v>
      </c>
      <c r="Z15" s="35">
        <v>4.2</v>
      </c>
      <c r="AA15" s="35">
        <v>29</v>
      </c>
      <c r="AB15" s="35">
        <v>0.84</v>
      </c>
      <c r="AC15" s="35">
        <v>1.7</v>
      </c>
      <c r="AD15" s="35">
        <v>0.23</v>
      </c>
      <c r="AE15" s="35">
        <v>1.7</v>
      </c>
      <c r="AF15" s="35">
        <v>0.95</v>
      </c>
      <c r="AG15" s="35">
        <v>3.5999999999999997E-2</v>
      </c>
      <c r="AH15" s="35">
        <v>3.2</v>
      </c>
      <c r="AI15" s="35">
        <v>0.11</v>
      </c>
      <c r="AJ15" s="35">
        <v>0.16</v>
      </c>
      <c r="AK15" s="624">
        <f t="shared" si="30"/>
        <v>7.0000000000000001E-3</v>
      </c>
      <c r="AL15" s="628">
        <f t="shared" si="31"/>
        <v>8.9999999999999993E-3</v>
      </c>
      <c r="AM15" s="33">
        <v>0.42</v>
      </c>
      <c r="AN15" s="628">
        <f t="shared" si="32"/>
        <v>1.4999999999999999E-2</v>
      </c>
      <c r="AO15" s="628">
        <f t="shared" si="33"/>
        <v>3.8999999999999998E-3</v>
      </c>
      <c r="AP15" s="35">
        <v>5</v>
      </c>
      <c r="AQ15" s="32"/>
      <c r="AR15" s="623">
        <f t="shared" si="34"/>
        <v>2.1999999999999999E-2</v>
      </c>
      <c r="AS15" s="36">
        <v>1.6</v>
      </c>
      <c r="AT15" s="36">
        <v>0.71</v>
      </c>
      <c r="AU15" s="36">
        <v>0.44</v>
      </c>
      <c r="AV15" s="36">
        <v>0.86</v>
      </c>
      <c r="AW15" s="35">
        <v>1.8</v>
      </c>
      <c r="AX15" s="33">
        <v>0.66</v>
      </c>
      <c r="AY15" s="33">
        <v>3.3000000000000002E-2</v>
      </c>
      <c r="AZ15" s="33">
        <v>3.6</v>
      </c>
      <c r="BA15" s="33">
        <v>1.6</v>
      </c>
      <c r="BB15" s="32">
        <v>2.6</v>
      </c>
      <c r="BC15" s="619">
        <f t="shared" si="3"/>
        <v>1.0088888888888887</v>
      </c>
      <c r="BD15" s="610">
        <f t="shared" si="4"/>
        <v>1.0206249999999999</v>
      </c>
      <c r="BF15" s="610">
        <f t="shared" si="5"/>
        <v>1.4084507042253522E-4</v>
      </c>
      <c r="BG15" s="610">
        <f t="shared" si="6"/>
        <v>3.8709677419354839E-3</v>
      </c>
      <c r="BH15" s="610">
        <f t="shared" si="7"/>
        <v>0.27083333333333331</v>
      </c>
      <c r="BI15" s="610">
        <f t="shared" si="8"/>
        <v>7.3913043478260878E-3</v>
      </c>
      <c r="BJ15" s="610">
        <f t="shared" si="9"/>
        <v>0.24444444444444446</v>
      </c>
      <c r="BK15" s="610">
        <f t="shared" si="10"/>
        <v>2.4102564102564104E-3</v>
      </c>
      <c r="BL15" s="610">
        <f t="shared" si="11"/>
        <v>2.5514403292181071E-3</v>
      </c>
      <c r="BM15" s="610">
        <f t="shared" si="12"/>
        <v>3.15E-3</v>
      </c>
      <c r="BN15" s="563">
        <f t="shared" si="13"/>
        <v>274.84514614569133</v>
      </c>
      <c r="BO15" s="563">
        <f t="shared" si="14"/>
        <v>259.94744553174502</v>
      </c>
      <c r="BP15" s="611">
        <f t="shared" si="15"/>
        <v>1.057310432820264</v>
      </c>
      <c r="BR15" s="564">
        <f t="shared" si="16"/>
        <v>17.875</v>
      </c>
      <c r="BS15" s="564">
        <f t="shared" si="17"/>
        <v>0.30959999999999999</v>
      </c>
      <c r="BT15" s="564">
        <f t="shared" si="18"/>
        <v>0.42500000000000004</v>
      </c>
      <c r="BU15" s="564">
        <f t="shared" si="19"/>
        <v>5.7600000000000007</v>
      </c>
      <c r="BV15" s="564">
        <f t="shared" si="20"/>
        <v>1.6</v>
      </c>
      <c r="BW15" s="564">
        <f t="shared" si="21"/>
        <v>0.18380000000000002</v>
      </c>
      <c r="BX15" s="564">
        <f t="shared" si="0"/>
        <v>6.5799999999999997E-2</v>
      </c>
      <c r="BY15" s="564">
        <f t="shared" si="22"/>
        <v>0.2346</v>
      </c>
      <c r="BZ15" s="564">
        <f t="shared" si="23"/>
        <v>5.1769999999999993E-3</v>
      </c>
      <c r="CA15" s="564">
        <f t="shared" si="24"/>
        <v>26.458977000000004</v>
      </c>
      <c r="CB15" s="611">
        <f t="shared" si="25"/>
        <v>1.0335537890625002</v>
      </c>
      <c r="CC15" s="610"/>
      <c r="CD15" s="610">
        <f t="shared" si="26"/>
        <v>0.69230769230769229</v>
      </c>
      <c r="CE15" s="610">
        <f t="shared" si="27"/>
        <v>0.72222222222222221</v>
      </c>
      <c r="CF15" s="610">
        <f t="shared" si="35"/>
        <v>0.94000000000000006</v>
      </c>
      <c r="CG15" s="610">
        <f t="shared" si="36"/>
        <v>0.69300000000000006</v>
      </c>
    </row>
    <row r="16" spans="2:85" ht="20.149999999999999" customHeight="1" x14ac:dyDescent="0.2">
      <c r="B16" s="31" t="s">
        <v>202</v>
      </c>
      <c r="C16" s="32" t="s">
        <v>207</v>
      </c>
      <c r="D16" s="33">
        <v>33.6</v>
      </c>
      <c r="E16" s="623">
        <f t="shared" si="28"/>
        <v>5.0000000000000001E-3</v>
      </c>
      <c r="F16" s="35">
        <v>4.2999999999999997E-2</v>
      </c>
      <c r="G16" s="35">
        <v>18</v>
      </c>
      <c r="H16" s="36">
        <v>0.13</v>
      </c>
      <c r="I16" s="35">
        <v>6</v>
      </c>
      <c r="J16" s="35">
        <v>0.16</v>
      </c>
      <c r="K16" s="35">
        <v>4.9000000000000002E-2</v>
      </c>
      <c r="L16" s="32">
        <v>8.6999999999999994E-2</v>
      </c>
      <c r="M16" s="34">
        <v>150</v>
      </c>
      <c r="N16" s="35">
        <v>25</v>
      </c>
      <c r="O16" s="35" t="s">
        <v>232</v>
      </c>
      <c r="P16" s="35">
        <v>110</v>
      </c>
      <c r="Q16" s="35">
        <v>67</v>
      </c>
      <c r="R16" s="624">
        <f t="shared" si="29"/>
        <v>6.0000000000000001E-3</v>
      </c>
      <c r="S16" s="35">
        <v>4</v>
      </c>
      <c r="T16" s="35">
        <v>33</v>
      </c>
      <c r="U16" s="35">
        <v>7.8</v>
      </c>
      <c r="V16" s="35">
        <v>15</v>
      </c>
      <c r="W16" s="35">
        <v>220</v>
      </c>
      <c r="X16" s="35">
        <v>1.6</v>
      </c>
      <c r="Y16" s="35">
        <v>12</v>
      </c>
      <c r="Z16" s="35">
        <v>5.3</v>
      </c>
      <c r="AA16" s="35">
        <v>41</v>
      </c>
      <c r="AB16" s="35">
        <v>1.9</v>
      </c>
      <c r="AC16" s="35">
        <v>1.9</v>
      </c>
      <c r="AD16" s="35">
        <v>0.38</v>
      </c>
      <c r="AE16" s="35">
        <v>1.6</v>
      </c>
      <c r="AF16" s="35">
        <v>1.3</v>
      </c>
      <c r="AG16" s="35">
        <v>7.3999999999999996E-2</v>
      </c>
      <c r="AH16" s="35">
        <v>3.2</v>
      </c>
      <c r="AI16" s="35">
        <v>9.6000000000000002E-2</v>
      </c>
      <c r="AJ16" s="35">
        <v>0.12</v>
      </c>
      <c r="AK16" s="624">
        <f t="shared" si="30"/>
        <v>7.0000000000000001E-3</v>
      </c>
      <c r="AL16" s="628">
        <f t="shared" si="31"/>
        <v>8.9999999999999993E-3</v>
      </c>
      <c r="AM16" s="33">
        <v>0.7</v>
      </c>
      <c r="AN16" s="628">
        <f t="shared" si="32"/>
        <v>1.4999999999999999E-2</v>
      </c>
      <c r="AO16" s="628">
        <f t="shared" si="33"/>
        <v>3.8999999999999998E-3</v>
      </c>
      <c r="AP16" s="35">
        <v>9.6999999999999993</v>
      </c>
      <c r="AQ16" s="32"/>
      <c r="AR16" s="623">
        <f t="shared" si="34"/>
        <v>2.1999999999999999E-2</v>
      </c>
      <c r="AS16" s="36">
        <v>1.6</v>
      </c>
      <c r="AT16" s="36">
        <v>0.72</v>
      </c>
      <c r="AU16" s="36">
        <v>0.5</v>
      </c>
      <c r="AV16" s="36">
        <v>0.82</v>
      </c>
      <c r="AW16" s="35">
        <v>1.9</v>
      </c>
      <c r="AX16" s="33">
        <v>0.59</v>
      </c>
      <c r="AY16" s="628">
        <f>0.5*0.032</f>
        <v>1.6E-2</v>
      </c>
      <c r="AZ16" s="33">
        <v>3.6</v>
      </c>
      <c r="BA16" s="33">
        <v>1.7</v>
      </c>
      <c r="BB16" s="32">
        <v>2.9</v>
      </c>
      <c r="BC16" s="619">
        <f t="shared" si="3"/>
        <v>1.0172222222222222</v>
      </c>
      <c r="BD16" s="610">
        <f t="shared" si="4"/>
        <v>0.99176470588235288</v>
      </c>
      <c r="BF16" s="610">
        <f t="shared" si="5"/>
        <v>1.4084507042253522E-4</v>
      </c>
      <c r="BG16" s="610">
        <f t="shared" si="6"/>
        <v>6.9354838709677412E-4</v>
      </c>
      <c r="BH16" s="610">
        <f t="shared" si="7"/>
        <v>0.375</v>
      </c>
      <c r="BI16" s="610">
        <f t="shared" si="8"/>
        <v>5.6521739130434784E-3</v>
      </c>
      <c r="BJ16" s="610">
        <f t="shared" si="9"/>
        <v>0.33333333333333331</v>
      </c>
      <c r="BK16" s="610">
        <f t="shared" si="10"/>
        <v>4.1025641025641026E-3</v>
      </c>
      <c r="BL16" s="610">
        <f t="shared" si="11"/>
        <v>4.0329218106995883E-3</v>
      </c>
      <c r="BM16" s="610">
        <f t="shared" si="12"/>
        <v>4.3499999999999997E-3</v>
      </c>
      <c r="BN16" s="563">
        <f t="shared" si="13"/>
        <v>375.8343934575193</v>
      </c>
      <c r="BO16" s="563">
        <f t="shared" si="14"/>
        <v>351.4709931596405</v>
      </c>
      <c r="BP16" s="611">
        <f t="shared" si="15"/>
        <v>1.0693183812378302</v>
      </c>
      <c r="BR16" s="564">
        <f t="shared" si="16"/>
        <v>24.75</v>
      </c>
      <c r="BS16" s="564">
        <f t="shared" si="17"/>
        <v>5.5469999999999998E-2</v>
      </c>
      <c r="BT16" s="564">
        <f t="shared" si="18"/>
        <v>0.32500000000000001</v>
      </c>
      <c r="BU16" s="564">
        <f t="shared" si="19"/>
        <v>5.7600000000000007</v>
      </c>
      <c r="BV16" s="564">
        <f t="shared" si="20"/>
        <v>1.7</v>
      </c>
      <c r="BW16" s="564">
        <f t="shared" si="21"/>
        <v>0.22975000000000001</v>
      </c>
      <c r="BX16" s="564">
        <f t="shared" si="0"/>
        <v>9.3799999999999994E-2</v>
      </c>
      <c r="BY16" s="564">
        <f t="shared" si="22"/>
        <v>0.30359999999999998</v>
      </c>
      <c r="BZ16" s="564">
        <f t="shared" si="23"/>
        <v>6.6800000000000002E-3</v>
      </c>
      <c r="CA16" s="564">
        <f t="shared" si="24"/>
        <v>33.224300000000014</v>
      </c>
      <c r="CB16" s="611">
        <f t="shared" si="25"/>
        <v>0.98881845238095278</v>
      </c>
      <c r="CC16" s="610"/>
      <c r="CD16" s="610">
        <f t="shared" si="26"/>
        <v>0.679245283018868</v>
      </c>
      <c r="CE16" s="610">
        <f t="shared" si="27"/>
        <v>0.80555555555555547</v>
      </c>
      <c r="CF16" s="610">
        <f t="shared" si="35"/>
        <v>1.08</v>
      </c>
      <c r="CG16" s="610">
        <f t="shared" si="36"/>
        <v>0.60599999999999998</v>
      </c>
    </row>
    <row r="17" spans="2:85" ht="20.149999999999999" customHeight="1" x14ac:dyDescent="0.2">
      <c r="B17" s="31" t="s">
        <v>202</v>
      </c>
      <c r="C17" s="32" t="s">
        <v>208</v>
      </c>
      <c r="D17" s="33">
        <v>32.9</v>
      </c>
      <c r="E17" s="623">
        <f t="shared" si="28"/>
        <v>5.0000000000000001E-3</v>
      </c>
      <c r="F17" s="35">
        <v>4.8000000000000001E-2</v>
      </c>
      <c r="G17" s="35">
        <v>15</v>
      </c>
      <c r="H17" s="36">
        <v>0.12</v>
      </c>
      <c r="I17" s="35">
        <v>5.0999999999999996</v>
      </c>
      <c r="J17" s="35">
        <v>0.2</v>
      </c>
      <c r="K17" s="35">
        <v>3.1E-2</v>
      </c>
      <c r="L17" s="32">
        <v>6.2E-2</v>
      </c>
      <c r="M17" s="34">
        <v>110</v>
      </c>
      <c r="N17" s="35">
        <v>22</v>
      </c>
      <c r="O17" s="35" t="s">
        <v>232</v>
      </c>
      <c r="P17" s="35">
        <v>180</v>
      </c>
      <c r="Q17" s="35">
        <v>31</v>
      </c>
      <c r="R17" s="624">
        <f t="shared" si="29"/>
        <v>6.0000000000000001E-3</v>
      </c>
      <c r="S17" s="35">
        <v>3.4</v>
      </c>
      <c r="T17" s="35">
        <v>23</v>
      </c>
      <c r="U17" s="35">
        <v>1.8</v>
      </c>
      <c r="V17" s="35">
        <v>11</v>
      </c>
      <c r="W17" s="35">
        <v>140</v>
      </c>
      <c r="X17" s="35">
        <v>0.09</v>
      </c>
      <c r="Y17" s="35">
        <v>6.6</v>
      </c>
      <c r="Z17" s="35">
        <v>6.8</v>
      </c>
      <c r="AA17" s="35">
        <v>36</v>
      </c>
      <c r="AB17" s="35">
        <v>2</v>
      </c>
      <c r="AC17" s="35">
        <v>2.9</v>
      </c>
      <c r="AD17" s="35">
        <v>0.39</v>
      </c>
      <c r="AE17" s="35">
        <v>2.4</v>
      </c>
      <c r="AF17" s="35">
        <v>1.8</v>
      </c>
      <c r="AG17" s="35">
        <v>7.1999999999999995E-2</v>
      </c>
      <c r="AH17" s="35">
        <v>4.4000000000000004</v>
      </c>
      <c r="AI17" s="35">
        <v>3.6999999999999998E-2</v>
      </c>
      <c r="AJ17" s="35">
        <v>0.1</v>
      </c>
      <c r="AK17" s="624">
        <f t="shared" si="30"/>
        <v>7.0000000000000001E-3</v>
      </c>
      <c r="AL17" s="628">
        <f t="shared" si="31"/>
        <v>8.9999999999999993E-3</v>
      </c>
      <c r="AM17" s="33">
        <v>0.28999999999999998</v>
      </c>
      <c r="AN17" s="628">
        <f t="shared" si="32"/>
        <v>1.4999999999999999E-2</v>
      </c>
      <c r="AO17" s="628">
        <f t="shared" si="33"/>
        <v>3.8999999999999998E-3</v>
      </c>
      <c r="AP17" s="35">
        <v>8.9</v>
      </c>
      <c r="AQ17" s="32"/>
      <c r="AR17" s="623">
        <f t="shared" si="34"/>
        <v>2.1999999999999999E-2</v>
      </c>
      <c r="AS17" s="36">
        <v>1.9</v>
      </c>
      <c r="AT17" s="36">
        <v>0.88</v>
      </c>
      <c r="AU17" s="36">
        <v>0.55000000000000004</v>
      </c>
      <c r="AV17" s="36">
        <v>1.1000000000000001</v>
      </c>
      <c r="AW17" s="35">
        <v>2.4</v>
      </c>
      <c r="AX17" s="33">
        <v>0.55000000000000004</v>
      </c>
      <c r="AY17" s="628">
        <f>0.5*0.032</f>
        <v>1.6E-2</v>
      </c>
      <c r="AZ17" s="33">
        <v>4.4000000000000004</v>
      </c>
      <c r="BA17" s="33">
        <v>1.9</v>
      </c>
      <c r="BB17" s="32">
        <v>3.5</v>
      </c>
      <c r="BC17" s="619">
        <f t="shared" si="3"/>
        <v>1.0118181818181817</v>
      </c>
      <c r="BD17" s="610">
        <f t="shared" si="4"/>
        <v>0.98210526315789481</v>
      </c>
      <c r="BF17" s="610">
        <f t="shared" si="5"/>
        <v>1.4084507042253522E-4</v>
      </c>
      <c r="BG17" s="610">
        <f t="shared" si="6"/>
        <v>7.7419354838709675E-4</v>
      </c>
      <c r="BH17" s="610">
        <f t="shared" si="7"/>
        <v>0.3125</v>
      </c>
      <c r="BI17" s="610">
        <f t="shared" si="8"/>
        <v>5.2173913043478256E-3</v>
      </c>
      <c r="BJ17" s="610">
        <f t="shared" si="9"/>
        <v>0.28333333333333333</v>
      </c>
      <c r="BK17" s="610">
        <f t="shared" si="10"/>
        <v>5.1282051282051282E-3</v>
      </c>
      <c r="BL17" s="610">
        <f t="shared" si="11"/>
        <v>2.5514403292181071E-3</v>
      </c>
      <c r="BM17" s="610">
        <f t="shared" si="12"/>
        <v>3.0999999999999999E-3</v>
      </c>
      <c r="BN17" s="563">
        <f t="shared" si="13"/>
        <v>313.41503861880966</v>
      </c>
      <c r="BO17" s="563">
        <f t="shared" si="14"/>
        <v>299.3303700951044</v>
      </c>
      <c r="BP17" s="611">
        <f t="shared" si="15"/>
        <v>1.0470539241281471</v>
      </c>
      <c r="BR17" s="564">
        <f t="shared" si="16"/>
        <v>20.625</v>
      </c>
      <c r="BS17" s="564">
        <f t="shared" si="17"/>
        <v>6.1920000000000003E-2</v>
      </c>
      <c r="BT17" s="564">
        <f t="shared" si="18"/>
        <v>0.3</v>
      </c>
      <c r="BU17" s="564">
        <f t="shared" si="19"/>
        <v>7.0400000000000009</v>
      </c>
      <c r="BV17" s="564">
        <f t="shared" si="20"/>
        <v>1.9</v>
      </c>
      <c r="BW17" s="564">
        <f t="shared" si="21"/>
        <v>0.20218</v>
      </c>
      <c r="BX17" s="564">
        <f t="shared" si="0"/>
        <v>4.3399999999999994E-2</v>
      </c>
      <c r="BY17" s="564">
        <f t="shared" si="22"/>
        <v>0.19320000000000001</v>
      </c>
      <c r="BZ17" s="564">
        <f t="shared" si="23"/>
        <v>5.677999999999999E-3</v>
      </c>
      <c r="CA17" s="564">
        <f t="shared" si="24"/>
        <v>30.371378</v>
      </c>
      <c r="CB17" s="611">
        <f t="shared" si="25"/>
        <v>0.92314218844984808</v>
      </c>
      <c r="CC17" s="610"/>
      <c r="CD17" s="610">
        <f t="shared" si="26"/>
        <v>0.69841269841269837</v>
      </c>
      <c r="CE17" s="610">
        <f t="shared" si="27"/>
        <v>0.79545454545454541</v>
      </c>
      <c r="CF17" s="610">
        <f t="shared" si="35"/>
        <v>1.2999999999999998</v>
      </c>
      <c r="CG17" s="610">
        <f t="shared" si="36"/>
        <v>0.56600000000000006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32.9</v>
      </c>
      <c r="E18" s="631">
        <f t="shared" si="28"/>
        <v>5.0000000000000001E-3</v>
      </c>
      <c r="F18" s="43">
        <v>5.2999999999999999E-2</v>
      </c>
      <c r="G18" s="43">
        <v>17</v>
      </c>
      <c r="H18" s="44">
        <v>0.17</v>
      </c>
      <c r="I18" s="43">
        <v>5.6</v>
      </c>
      <c r="J18" s="43">
        <v>0.18</v>
      </c>
      <c r="K18" s="43">
        <v>3.6999999999999998E-2</v>
      </c>
      <c r="L18" s="45">
        <v>0.08</v>
      </c>
      <c r="M18" s="42">
        <v>180</v>
      </c>
      <c r="N18" s="43">
        <v>41</v>
      </c>
      <c r="O18" s="43" t="s">
        <v>232</v>
      </c>
      <c r="P18" s="43">
        <v>170</v>
      </c>
      <c r="Q18" s="43">
        <v>71</v>
      </c>
      <c r="R18" s="626">
        <f t="shared" si="29"/>
        <v>6.0000000000000001E-3</v>
      </c>
      <c r="S18" s="43">
        <v>7.2</v>
      </c>
      <c r="T18" s="43">
        <v>26</v>
      </c>
      <c r="U18" s="43">
        <v>2.7</v>
      </c>
      <c r="V18" s="43">
        <v>24</v>
      </c>
      <c r="W18" s="43">
        <v>530</v>
      </c>
      <c r="X18" s="43">
        <v>0.35</v>
      </c>
      <c r="Y18" s="43">
        <v>10</v>
      </c>
      <c r="Z18" s="43">
        <v>18</v>
      </c>
      <c r="AA18" s="43">
        <v>64</v>
      </c>
      <c r="AB18" s="43">
        <v>3.2</v>
      </c>
      <c r="AC18" s="43">
        <v>2.2000000000000002</v>
      </c>
      <c r="AD18" s="43">
        <v>0.52</v>
      </c>
      <c r="AE18" s="43">
        <v>1.8</v>
      </c>
      <c r="AF18" s="43">
        <v>1.5</v>
      </c>
      <c r="AG18" s="43">
        <v>6.6000000000000003E-2</v>
      </c>
      <c r="AH18" s="43">
        <v>13</v>
      </c>
      <c r="AI18" s="43">
        <v>0.08</v>
      </c>
      <c r="AJ18" s="43">
        <v>0.12</v>
      </c>
      <c r="AK18" s="626">
        <f t="shared" si="30"/>
        <v>7.0000000000000001E-3</v>
      </c>
      <c r="AL18" s="629">
        <f t="shared" si="31"/>
        <v>8.9999999999999993E-3</v>
      </c>
      <c r="AM18" s="41">
        <v>0.34</v>
      </c>
      <c r="AN18" s="629">
        <f t="shared" si="32"/>
        <v>1.4999999999999999E-2</v>
      </c>
      <c r="AO18" s="629">
        <f t="shared" si="33"/>
        <v>3.8999999999999998E-3</v>
      </c>
      <c r="AP18" s="43">
        <v>12</v>
      </c>
      <c r="AQ18" s="45"/>
      <c r="AR18" s="631">
        <f t="shared" si="34"/>
        <v>2.1999999999999999E-2</v>
      </c>
      <c r="AS18" s="44">
        <v>1.4</v>
      </c>
      <c r="AT18" s="44">
        <v>0.71</v>
      </c>
      <c r="AU18" s="44">
        <v>0.43</v>
      </c>
      <c r="AV18" s="44">
        <v>0.8</v>
      </c>
      <c r="AW18" s="43">
        <v>1.7</v>
      </c>
      <c r="AX18" s="41">
        <v>0.5</v>
      </c>
      <c r="AY18" s="629">
        <f>0.5*0.032</f>
        <v>1.6E-2</v>
      </c>
      <c r="AZ18" s="41">
        <v>3.3</v>
      </c>
      <c r="BA18" s="41">
        <v>1.4</v>
      </c>
      <c r="BB18" s="45">
        <v>3</v>
      </c>
      <c r="BC18" s="620">
        <f t="shared" si="3"/>
        <v>1.0187878787878788</v>
      </c>
      <c r="BD18" s="617">
        <f t="shared" si="4"/>
        <v>1.0114285714285716</v>
      </c>
      <c r="BE18" s="616"/>
      <c r="BF18" s="617">
        <f t="shared" si="5"/>
        <v>1.4084507042253522E-4</v>
      </c>
      <c r="BG18" s="617">
        <f t="shared" si="6"/>
        <v>8.5483870967741928E-4</v>
      </c>
      <c r="BH18" s="617">
        <f t="shared" si="7"/>
        <v>0.35416666666666669</v>
      </c>
      <c r="BI18" s="617">
        <f t="shared" si="8"/>
        <v>7.3913043478260878E-3</v>
      </c>
      <c r="BJ18" s="617">
        <f t="shared" si="9"/>
        <v>0.31111111111111112</v>
      </c>
      <c r="BK18" s="617">
        <f t="shared" si="10"/>
        <v>4.6153846153846149E-3</v>
      </c>
      <c r="BL18" s="617">
        <f t="shared" si="11"/>
        <v>3.0452674897119337E-3</v>
      </c>
      <c r="BM18" s="617">
        <f t="shared" si="12"/>
        <v>4.0000000000000001E-3</v>
      </c>
      <c r="BN18" s="621">
        <f t="shared" si="13"/>
        <v>355.16235044676665</v>
      </c>
      <c r="BO18" s="621">
        <f t="shared" si="14"/>
        <v>330.16306756403378</v>
      </c>
      <c r="BP18" s="618">
        <f t="shared" si="15"/>
        <v>1.0757179870758391</v>
      </c>
      <c r="BQ18" s="616"/>
      <c r="BR18" s="615">
        <f t="shared" si="16"/>
        <v>23.375</v>
      </c>
      <c r="BS18" s="615">
        <f t="shared" si="17"/>
        <v>6.837E-2</v>
      </c>
      <c r="BT18" s="615">
        <f t="shared" si="18"/>
        <v>0.42500000000000004</v>
      </c>
      <c r="BU18" s="615">
        <f t="shared" si="19"/>
        <v>5.28</v>
      </c>
      <c r="BV18" s="615">
        <f t="shared" si="20"/>
        <v>1.4</v>
      </c>
      <c r="BW18" s="615">
        <f t="shared" si="21"/>
        <v>0.37679000000000001</v>
      </c>
      <c r="BX18" s="615">
        <f t="shared" si="0"/>
        <v>9.9399999999999988E-2</v>
      </c>
      <c r="BY18" s="615">
        <f t="shared" si="22"/>
        <v>0.73139999999999994</v>
      </c>
      <c r="BZ18" s="615">
        <f t="shared" si="23"/>
        <v>1.2024E-2</v>
      </c>
      <c r="CA18" s="615">
        <f t="shared" si="24"/>
        <v>31.767984000000002</v>
      </c>
      <c r="CB18" s="618">
        <f t="shared" si="25"/>
        <v>0.96559221884498492</v>
      </c>
      <c r="CC18" s="617"/>
      <c r="CD18" s="617">
        <f t="shared" si="26"/>
        <v>0.7021276595744681</v>
      </c>
      <c r="CE18" s="617">
        <f t="shared" si="27"/>
        <v>0.90909090909090917</v>
      </c>
      <c r="CF18" s="617">
        <f t="shared" si="35"/>
        <v>0.89999999999999991</v>
      </c>
      <c r="CG18" s="617">
        <f t="shared" si="36"/>
        <v>0.51600000000000001</v>
      </c>
    </row>
    <row r="19" spans="2:85" ht="20.149999999999999" customHeight="1" x14ac:dyDescent="0.2">
      <c r="B19" s="31" t="s">
        <v>61</v>
      </c>
      <c r="C19" s="46" t="s">
        <v>92</v>
      </c>
      <c r="D19" s="47">
        <v>29.2</v>
      </c>
      <c r="E19" s="48" t="s">
        <v>531</v>
      </c>
      <c r="F19" s="49">
        <v>3.6999999999999998E-2</v>
      </c>
      <c r="G19" s="49">
        <v>14</v>
      </c>
      <c r="H19" s="50">
        <v>0.15</v>
      </c>
      <c r="I19" s="49">
        <v>4.7</v>
      </c>
      <c r="J19" s="49">
        <v>0.16</v>
      </c>
      <c r="K19" s="49">
        <v>3.5000000000000003E-2</v>
      </c>
      <c r="L19" s="37">
        <v>0.11</v>
      </c>
      <c r="M19" s="48">
        <v>160</v>
      </c>
      <c r="N19" s="49">
        <v>56</v>
      </c>
      <c r="O19" s="49" t="s">
        <v>232</v>
      </c>
      <c r="P19" s="49">
        <v>180</v>
      </c>
      <c r="Q19" s="49">
        <v>100</v>
      </c>
      <c r="R19" s="49" t="s">
        <v>298</v>
      </c>
      <c r="S19" s="49">
        <v>9.9</v>
      </c>
      <c r="T19" s="49">
        <v>20</v>
      </c>
      <c r="U19" s="49">
        <v>9.6</v>
      </c>
      <c r="V19" s="49">
        <v>24</v>
      </c>
      <c r="W19" s="49">
        <v>410</v>
      </c>
      <c r="X19" s="49">
        <v>0.21</v>
      </c>
      <c r="Y19" s="49">
        <v>8.9</v>
      </c>
      <c r="Z19" s="49">
        <v>13</v>
      </c>
      <c r="AA19" s="49">
        <v>84</v>
      </c>
      <c r="AB19" s="49">
        <v>2.6</v>
      </c>
      <c r="AC19" s="49">
        <v>2.5</v>
      </c>
      <c r="AD19" s="49">
        <v>0.57999999999999996</v>
      </c>
      <c r="AE19" s="49">
        <v>3.3</v>
      </c>
      <c r="AF19" s="49">
        <v>1.5</v>
      </c>
      <c r="AG19" s="49">
        <v>9.0999999999999998E-2</v>
      </c>
      <c r="AH19" s="49">
        <v>4</v>
      </c>
      <c r="AI19" s="49">
        <v>8.3000000000000004E-2</v>
      </c>
      <c r="AJ19" s="49">
        <v>0.13</v>
      </c>
      <c r="AK19" s="49" t="s">
        <v>333</v>
      </c>
      <c r="AL19" s="47" t="s">
        <v>73</v>
      </c>
      <c r="AM19" s="47">
        <v>0.47</v>
      </c>
      <c r="AN19" s="47" t="s">
        <v>253</v>
      </c>
      <c r="AO19" s="47" t="s">
        <v>561</v>
      </c>
      <c r="AP19" s="49">
        <v>13</v>
      </c>
      <c r="AQ19" s="37"/>
      <c r="AR19" s="48" t="s">
        <v>545</v>
      </c>
      <c r="AS19" s="50">
        <v>1.5</v>
      </c>
      <c r="AT19" s="50">
        <v>0.71</v>
      </c>
      <c r="AU19" s="50">
        <v>0.42</v>
      </c>
      <c r="AV19" s="50">
        <v>0.68</v>
      </c>
      <c r="AW19" s="49">
        <v>1.9</v>
      </c>
      <c r="AX19" s="47">
        <v>0.47</v>
      </c>
      <c r="AY19" s="47" t="s">
        <v>340</v>
      </c>
      <c r="AZ19" s="47">
        <v>3.3</v>
      </c>
      <c r="BA19" s="47">
        <v>1.7</v>
      </c>
      <c r="BB19" s="37">
        <v>2.7</v>
      </c>
      <c r="BC19" s="619">
        <f t="shared" si="3"/>
        <v>1.0030303030303032</v>
      </c>
      <c r="BD19" s="610">
        <f t="shared" si="4"/>
        <v>0.99411764705882355</v>
      </c>
      <c r="BF19" s="610" t="e">
        <f t="shared" si="5"/>
        <v>#VALUE!</v>
      </c>
      <c r="BG19" s="610">
        <f t="shared" si="6"/>
        <v>5.9677419354838706E-4</v>
      </c>
      <c r="BH19" s="610">
        <f t="shared" si="7"/>
        <v>0.29166666666666669</v>
      </c>
      <c r="BI19" s="610">
        <f t="shared" si="8"/>
        <v>6.5217391304347823E-3</v>
      </c>
      <c r="BJ19" s="610">
        <f t="shared" si="9"/>
        <v>0.26111111111111113</v>
      </c>
      <c r="BK19" s="610">
        <f t="shared" si="10"/>
        <v>4.1025641025641026E-3</v>
      </c>
      <c r="BL19" s="610">
        <f t="shared" si="11"/>
        <v>2.8806584362139919E-3</v>
      </c>
      <c r="BM19" s="610">
        <f t="shared" si="12"/>
        <v>5.4999999999999997E-3</v>
      </c>
      <c r="BN19" s="563" t="e">
        <f t="shared" si="13"/>
        <v>#VALUE!</v>
      </c>
      <c r="BO19" s="563">
        <f t="shared" si="14"/>
        <v>280.11607278032403</v>
      </c>
      <c r="BP19" s="611" t="e">
        <f t="shared" si="15"/>
        <v>#VALUE!</v>
      </c>
      <c r="BR19" s="564">
        <f t="shared" si="16"/>
        <v>19.25</v>
      </c>
      <c r="BS19" s="564">
        <f t="shared" si="17"/>
        <v>4.7730000000000002E-2</v>
      </c>
      <c r="BT19" s="564">
        <f t="shared" si="18"/>
        <v>0.375</v>
      </c>
      <c r="BU19" s="564">
        <f t="shared" si="19"/>
        <v>5.28</v>
      </c>
      <c r="BV19" s="564">
        <f t="shared" si="20"/>
        <v>1.7</v>
      </c>
      <c r="BW19" s="564">
        <f t="shared" si="21"/>
        <v>0.51463999999999999</v>
      </c>
      <c r="BX19" s="564">
        <f t="shared" si="0"/>
        <v>0.13999999999999999</v>
      </c>
      <c r="BY19" s="564">
        <f t="shared" si="22"/>
        <v>0.56579999999999997</v>
      </c>
      <c r="BZ19" s="564">
        <f t="shared" si="23"/>
        <v>1.6532999999999999E-2</v>
      </c>
      <c r="CA19" s="564">
        <f t="shared" si="24"/>
        <v>27.889703000000001</v>
      </c>
      <c r="CB19" s="611">
        <f t="shared" si="25"/>
        <v>0.95512681506849317</v>
      </c>
      <c r="CC19" s="610"/>
      <c r="CD19" s="610">
        <f t="shared" si="26"/>
        <v>0.65999999999999992</v>
      </c>
      <c r="CE19" s="610">
        <f t="shared" si="27"/>
        <v>0.81818181818181823</v>
      </c>
      <c r="CF19" s="610">
        <f t="shared" si="35"/>
        <v>1.2199999999999998</v>
      </c>
      <c r="CG19" s="610" t="e">
        <f t="shared" si="36"/>
        <v>#VALUE!</v>
      </c>
    </row>
    <row r="20" spans="2:85" ht="20.149999999999999" customHeight="1" x14ac:dyDescent="0.2">
      <c r="B20" s="21" t="s">
        <v>61</v>
      </c>
      <c r="C20" s="52" t="s">
        <v>210</v>
      </c>
      <c r="D20" s="53">
        <v>11.6</v>
      </c>
      <c r="E20" s="54" t="s">
        <v>531</v>
      </c>
      <c r="F20" s="55">
        <v>5.5E-2</v>
      </c>
      <c r="G20" s="55">
        <v>5.5</v>
      </c>
      <c r="H20" s="56">
        <v>0.13</v>
      </c>
      <c r="I20" s="55">
        <v>1.7</v>
      </c>
      <c r="J20" s="55">
        <v>8.3000000000000004E-2</v>
      </c>
      <c r="K20" s="55">
        <v>2.5000000000000001E-2</v>
      </c>
      <c r="L20" s="52">
        <v>5.8000000000000003E-2</v>
      </c>
      <c r="M20" s="54">
        <v>120</v>
      </c>
      <c r="N20" s="55">
        <v>21</v>
      </c>
      <c r="O20" s="55" t="s">
        <v>232</v>
      </c>
      <c r="P20" s="55">
        <v>64</v>
      </c>
      <c r="Q20" s="55">
        <v>50</v>
      </c>
      <c r="R20" s="55" t="s">
        <v>298</v>
      </c>
      <c r="S20" s="55">
        <v>3.4</v>
      </c>
      <c r="T20" s="55">
        <v>14</v>
      </c>
      <c r="U20" s="55">
        <v>1.2</v>
      </c>
      <c r="V20" s="55">
        <v>7.4</v>
      </c>
      <c r="W20" s="55">
        <v>110</v>
      </c>
      <c r="X20" s="55">
        <v>4.3999999999999997E-2</v>
      </c>
      <c r="Y20" s="55">
        <v>4.2</v>
      </c>
      <c r="Z20" s="55">
        <v>6.2</v>
      </c>
      <c r="AA20" s="55">
        <v>18</v>
      </c>
      <c r="AB20" s="55">
        <v>0.75</v>
      </c>
      <c r="AC20" s="55">
        <v>0.54</v>
      </c>
      <c r="AD20" s="55">
        <v>0.12</v>
      </c>
      <c r="AE20" s="55">
        <v>0.41</v>
      </c>
      <c r="AF20" s="55">
        <v>0.52</v>
      </c>
      <c r="AG20" s="55" t="s">
        <v>333</v>
      </c>
      <c r="AH20" s="55">
        <v>2.2000000000000002</v>
      </c>
      <c r="AI20" s="55">
        <v>5.8000000000000003E-2</v>
      </c>
      <c r="AJ20" s="55">
        <v>0.12</v>
      </c>
      <c r="AK20" s="55" t="s">
        <v>333</v>
      </c>
      <c r="AL20" s="53" t="s">
        <v>73</v>
      </c>
      <c r="AM20" s="53">
        <v>8.7999999999999995E-2</v>
      </c>
      <c r="AN20" s="53" t="s">
        <v>253</v>
      </c>
      <c r="AO20" s="53" t="s">
        <v>561</v>
      </c>
      <c r="AP20" s="55">
        <v>3</v>
      </c>
      <c r="AQ20" s="52"/>
      <c r="AR20" s="54" t="s">
        <v>545</v>
      </c>
      <c r="AS20" s="56">
        <v>0.96</v>
      </c>
      <c r="AT20" s="56">
        <v>0.39</v>
      </c>
      <c r="AU20" s="56">
        <v>0.2</v>
      </c>
      <c r="AV20" s="56">
        <v>0.36</v>
      </c>
      <c r="AW20" s="55">
        <v>0.66</v>
      </c>
      <c r="AX20" s="53">
        <v>0.46</v>
      </c>
      <c r="AY20" s="53" t="s">
        <v>340</v>
      </c>
      <c r="AZ20" s="53">
        <v>1.9</v>
      </c>
      <c r="BA20" s="53">
        <v>0.76</v>
      </c>
      <c r="BB20" s="52">
        <v>1.3</v>
      </c>
      <c r="BC20" s="619">
        <f t="shared" si="3"/>
        <v>1.0052631578947369</v>
      </c>
      <c r="BD20" s="610">
        <f t="shared" si="4"/>
        <v>1.0000000000000002</v>
      </c>
      <c r="BF20" s="610" t="e">
        <f t="shared" si="5"/>
        <v>#VALUE!</v>
      </c>
      <c r="BG20" s="610">
        <f t="shared" si="6"/>
        <v>8.8709677419354844E-4</v>
      </c>
      <c r="BH20" s="610">
        <f t="shared" si="7"/>
        <v>0.11458333333333333</v>
      </c>
      <c r="BI20" s="610">
        <f t="shared" si="8"/>
        <v>5.6521739130434784E-3</v>
      </c>
      <c r="BJ20" s="610">
        <f t="shared" si="9"/>
        <v>9.4444444444444442E-2</v>
      </c>
      <c r="BK20" s="610">
        <f t="shared" si="10"/>
        <v>2.1282051282051281E-3</v>
      </c>
      <c r="BL20" s="610">
        <f t="shared" si="11"/>
        <v>2.05761316872428E-3</v>
      </c>
      <c r="BM20" s="610">
        <f t="shared" si="12"/>
        <v>2.9000000000000002E-3</v>
      </c>
      <c r="BN20" s="563" t="e">
        <f t="shared" si="13"/>
        <v>#VALUE!</v>
      </c>
      <c r="BO20" s="563">
        <f t="shared" si="14"/>
        <v>107.18243665441734</v>
      </c>
      <c r="BP20" s="611" t="e">
        <f t="shared" si="15"/>
        <v>#VALUE!</v>
      </c>
      <c r="BR20" s="564">
        <f t="shared" si="16"/>
        <v>7.5625</v>
      </c>
      <c r="BS20" s="564">
        <f t="shared" si="17"/>
        <v>7.0949999999999999E-2</v>
      </c>
      <c r="BT20" s="564">
        <f t="shared" si="18"/>
        <v>0.32500000000000001</v>
      </c>
      <c r="BU20" s="564">
        <f t="shared" si="19"/>
        <v>3.04</v>
      </c>
      <c r="BV20" s="564">
        <f t="shared" si="20"/>
        <v>0.76</v>
      </c>
      <c r="BW20" s="564">
        <f t="shared" si="21"/>
        <v>0.19298999999999999</v>
      </c>
      <c r="BX20" s="564">
        <f t="shared" si="0"/>
        <v>6.9999999999999993E-2</v>
      </c>
      <c r="BY20" s="564">
        <f t="shared" si="22"/>
        <v>0.15179999999999999</v>
      </c>
      <c r="BZ20" s="564">
        <f t="shared" si="23"/>
        <v>5.677999999999999E-3</v>
      </c>
      <c r="CA20" s="564">
        <f t="shared" si="24"/>
        <v>12.178917999999999</v>
      </c>
      <c r="CB20" s="611">
        <f t="shared" si="25"/>
        <v>1.049906724137931</v>
      </c>
      <c r="CD20" s="610">
        <f t="shared" si="26"/>
        <v>0.71428571428571419</v>
      </c>
      <c r="CE20" s="610">
        <f t="shared" si="27"/>
        <v>0.68421052631578949</v>
      </c>
      <c r="CF20" s="610">
        <f t="shared" si="35"/>
        <v>0.30000000000000004</v>
      </c>
      <c r="CG20" s="610" t="e">
        <f t="shared" si="36"/>
        <v>#VALUE!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26.5</v>
      </c>
      <c r="E21" s="541">
        <f t="shared" ref="E21:BB21" si="37">AVERAGE(E12:E18)</f>
        <v>5.0000000000000001E-3</v>
      </c>
      <c r="F21" s="541">
        <f t="shared" si="37"/>
        <v>9.65714285714286E-2</v>
      </c>
      <c r="G21" s="540">
        <f t="shared" si="37"/>
        <v>12.471428571428572</v>
      </c>
      <c r="H21" s="541">
        <f t="shared" si="37"/>
        <v>0.22428571428571425</v>
      </c>
      <c r="I21" s="540">
        <f t="shared" si="37"/>
        <v>4.1428571428571432</v>
      </c>
      <c r="J21" s="541">
        <f t="shared" si="37"/>
        <v>0.13257142857142856</v>
      </c>
      <c r="K21" s="541">
        <f t="shared" si="37"/>
        <v>4.2571428571428573E-2</v>
      </c>
      <c r="L21" s="541">
        <f t="shared" si="37"/>
        <v>6.9999999999999993E-2</v>
      </c>
      <c r="M21" s="540">
        <f t="shared" si="37"/>
        <v>201.42857142857142</v>
      </c>
      <c r="N21" s="540">
        <f t="shared" si="37"/>
        <v>23.942857142857143</v>
      </c>
      <c r="O21" s="540" t="e">
        <f t="shared" si="37"/>
        <v>#DIV/0!</v>
      </c>
      <c r="P21" s="540">
        <f t="shared" si="37"/>
        <v>108.71428571428571</v>
      </c>
      <c r="Q21" s="540">
        <f t="shared" si="37"/>
        <v>50.571428571428569</v>
      </c>
      <c r="R21" s="540">
        <f t="shared" si="37"/>
        <v>5.9999999999999993E-3</v>
      </c>
      <c r="S21" s="540">
        <f t="shared" si="37"/>
        <v>3.7142857142857144</v>
      </c>
      <c r="T21" s="540">
        <f t="shared" si="37"/>
        <v>23</v>
      </c>
      <c r="U21" s="540">
        <f t="shared" si="37"/>
        <v>2.9328571428571428</v>
      </c>
      <c r="V21" s="540">
        <f t="shared" si="37"/>
        <v>12</v>
      </c>
      <c r="W21" s="540">
        <f t="shared" si="37"/>
        <v>208.57142857142858</v>
      </c>
      <c r="X21" s="540">
        <f t="shared" si="37"/>
        <v>0.33357142857142857</v>
      </c>
      <c r="Y21" s="540">
        <f t="shared" si="37"/>
        <v>7.7714285714285714</v>
      </c>
      <c r="Z21" s="540">
        <f t="shared" si="37"/>
        <v>6.128571428571429</v>
      </c>
      <c r="AA21" s="540">
        <f t="shared" si="37"/>
        <v>35.285714285714285</v>
      </c>
      <c r="AB21" s="540">
        <f t="shared" si="37"/>
        <v>1.4242857142857142</v>
      </c>
      <c r="AC21" s="541">
        <f t="shared" si="37"/>
        <v>1.6300000000000001</v>
      </c>
      <c r="AD21" s="541">
        <f t="shared" si="37"/>
        <v>0.29142857142857143</v>
      </c>
      <c r="AE21" s="541">
        <f t="shared" si="37"/>
        <v>1.4014285714285715</v>
      </c>
      <c r="AF21" s="541">
        <f t="shared" si="37"/>
        <v>1.0999999999999999</v>
      </c>
      <c r="AG21" s="541">
        <f t="shared" si="37"/>
        <v>4.4714285714285713E-2</v>
      </c>
      <c r="AH21" s="541">
        <f t="shared" si="37"/>
        <v>4.3714285714285719</v>
      </c>
      <c r="AI21" s="541">
        <f t="shared" si="37"/>
        <v>0.11214285714285714</v>
      </c>
      <c r="AJ21" s="541">
        <f t="shared" si="37"/>
        <v>0.11014285714285714</v>
      </c>
      <c r="AK21" s="541">
        <f t="shared" si="37"/>
        <v>7.0000000000000001E-3</v>
      </c>
      <c r="AL21" s="541">
        <f t="shared" si="37"/>
        <v>8.9999999999999993E-3</v>
      </c>
      <c r="AM21" s="541">
        <f t="shared" si="37"/>
        <v>0.33999999999999997</v>
      </c>
      <c r="AN21" s="541">
        <f t="shared" si="37"/>
        <v>1.4999999999999999E-2</v>
      </c>
      <c r="AO21" s="541">
        <f t="shared" si="37"/>
        <v>3.9000000000000003E-3</v>
      </c>
      <c r="AP21" s="541">
        <f t="shared" si="37"/>
        <v>6.8857142857142861</v>
      </c>
      <c r="AQ21" s="541" t="e">
        <f t="shared" si="37"/>
        <v>#DIV/0!</v>
      </c>
      <c r="AR21" s="540">
        <f t="shared" si="37"/>
        <v>2.1999999999999995E-2</v>
      </c>
      <c r="AS21" s="540">
        <f t="shared" si="37"/>
        <v>1.657142857142857</v>
      </c>
      <c r="AT21" s="540">
        <f t="shared" si="37"/>
        <v>0.81571428571428573</v>
      </c>
      <c r="AU21" s="540">
        <f t="shared" si="37"/>
        <v>0.49428571428571422</v>
      </c>
      <c r="AV21" s="540">
        <f t="shared" si="37"/>
        <v>0.96285714285714297</v>
      </c>
      <c r="AW21" s="540">
        <f t="shared" si="37"/>
        <v>1.9571428571428571</v>
      </c>
      <c r="AX21" s="540">
        <f t="shared" si="37"/>
        <v>0.58714285714285719</v>
      </c>
      <c r="AY21" s="540">
        <f t="shared" si="37"/>
        <v>3.5857142857142858E-2</v>
      </c>
      <c r="AZ21" s="540">
        <f t="shared" si="37"/>
        <v>3.9142857142857146</v>
      </c>
      <c r="BA21" s="540">
        <f t="shared" si="37"/>
        <v>1.6142857142857143</v>
      </c>
      <c r="BB21" s="540">
        <f t="shared" si="37"/>
        <v>3.1285714285714286</v>
      </c>
      <c r="CD21" s="691">
        <f>AVERAGE(CD12:CD18)</f>
        <v>0.70767934588940207</v>
      </c>
      <c r="CE21" s="691">
        <f>AVERAGE(CE12:CE18)</f>
        <v>0.79850369843114166</v>
      </c>
      <c r="CF21" s="691">
        <f>AVERAGE(CF12:CF18)</f>
        <v>0.99428571428571411</v>
      </c>
      <c r="CG21" s="691">
        <f>AVERAGE(CG12:CG18)</f>
        <v>0.62300000000000011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22.885714285714283</v>
      </c>
      <c r="E22" s="545">
        <f t="shared" ref="E22:BB22" si="38">AVERAGE(E7:E20)</f>
        <v>1.2000000000000002E-2</v>
      </c>
      <c r="F22" s="545">
        <f t="shared" si="38"/>
        <v>0.16864285714285715</v>
      </c>
      <c r="G22" s="544">
        <f t="shared" si="38"/>
        <v>9.7142857142857135</v>
      </c>
      <c r="H22" s="545">
        <f t="shared" si="38"/>
        <v>0.23357142857142854</v>
      </c>
      <c r="I22" s="544">
        <f t="shared" si="38"/>
        <v>3.1928571428571435</v>
      </c>
      <c r="J22" s="545">
        <f t="shared" si="38"/>
        <v>0.12628571428571425</v>
      </c>
      <c r="K22" s="545">
        <f t="shared" si="38"/>
        <v>4.2357142857142864E-2</v>
      </c>
      <c r="L22" s="545">
        <f t="shared" si="38"/>
        <v>7.3642857142857149E-2</v>
      </c>
      <c r="M22" s="544">
        <f t="shared" si="38"/>
        <v>199.5</v>
      </c>
      <c r="N22" s="544">
        <f t="shared" si="38"/>
        <v>24.535714285714285</v>
      </c>
      <c r="O22" s="544" t="e">
        <f t="shared" si="38"/>
        <v>#DIV/0!</v>
      </c>
      <c r="P22" s="544">
        <f t="shared" si="38"/>
        <v>107.64285714285714</v>
      </c>
      <c r="Q22" s="544">
        <f t="shared" si="38"/>
        <v>52.071428571428569</v>
      </c>
      <c r="R22" s="544">
        <f t="shared" si="38"/>
        <v>5.9999999999999993E-3</v>
      </c>
      <c r="S22" s="544">
        <f t="shared" si="38"/>
        <v>3.8357142857142859</v>
      </c>
      <c r="T22" s="544">
        <f t="shared" si="38"/>
        <v>23.321428571428573</v>
      </c>
      <c r="U22" s="544">
        <f t="shared" si="38"/>
        <v>3.330000000000001</v>
      </c>
      <c r="V22" s="544">
        <f t="shared" si="38"/>
        <v>13.985714285714284</v>
      </c>
      <c r="W22" s="544">
        <f t="shared" si="38"/>
        <v>269</v>
      </c>
      <c r="X22" s="544">
        <f t="shared" si="38"/>
        <v>0.21935714285714283</v>
      </c>
      <c r="Y22" s="544">
        <f t="shared" si="38"/>
        <v>7.7428571428571429</v>
      </c>
      <c r="Z22" s="544">
        <f t="shared" si="38"/>
        <v>6.1642857142857137</v>
      </c>
      <c r="AA22" s="544">
        <f t="shared" si="38"/>
        <v>41.25714285714286</v>
      </c>
      <c r="AB22" s="544">
        <f t="shared" si="38"/>
        <v>1.1814285714285713</v>
      </c>
      <c r="AC22" s="545">
        <f t="shared" si="38"/>
        <v>1.49</v>
      </c>
      <c r="AD22" s="545">
        <f t="shared" si="38"/>
        <v>0.28135714285714292</v>
      </c>
      <c r="AE22" s="545">
        <f t="shared" si="38"/>
        <v>1.9764285714285716</v>
      </c>
      <c r="AF22" s="545">
        <f t="shared" si="38"/>
        <v>1.0014285714285716</v>
      </c>
      <c r="AG22" s="545">
        <f t="shared" si="38"/>
        <v>5.6545454545454545E-2</v>
      </c>
      <c r="AH22" s="545">
        <f t="shared" si="38"/>
        <v>4.2785714285714294</v>
      </c>
      <c r="AI22" s="545">
        <f t="shared" si="38"/>
        <v>0.1203846153846154</v>
      </c>
      <c r="AJ22" s="545">
        <f t="shared" si="38"/>
        <v>0.11985714285714286</v>
      </c>
      <c r="AK22" s="545">
        <f t="shared" si="38"/>
        <v>7.0000000000000001E-3</v>
      </c>
      <c r="AL22" s="545">
        <f t="shared" si="38"/>
        <v>1.1374999999999998E-2</v>
      </c>
      <c r="AM22" s="545">
        <f t="shared" si="38"/>
        <v>0.36457142857142849</v>
      </c>
      <c r="AN22" s="545">
        <f t="shared" si="38"/>
        <v>1.4999999999999999E-2</v>
      </c>
      <c r="AO22" s="545">
        <f t="shared" si="38"/>
        <v>3.9000000000000003E-3</v>
      </c>
      <c r="AP22" s="545">
        <f t="shared" si="38"/>
        <v>6.3471428571428561</v>
      </c>
      <c r="AQ22" s="545" t="e">
        <f t="shared" si="38"/>
        <v>#DIV/0!</v>
      </c>
      <c r="AR22" s="544">
        <f t="shared" si="38"/>
        <v>2.1999999999999995E-2</v>
      </c>
      <c r="AS22" s="544">
        <f t="shared" si="38"/>
        <v>1.6385714285714283</v>
      </c>
      <c r="AT22" s="544">
        <f t="shared" si="38"/>
        <v>0.87857142857142889</v>
      </c>
      <c r="AU22" s="544">
        <f t="shared" si="38"/>
        <v>0.52785714285714291</v>
      </c>
      <c r="AV22" s="544">
        <f t="shared" si="38"/>
        <v>0.90642857142857136</v>
      </c>
      <c r="AW22" s="544">
        <f t="shared" si="38"/>
        <v>1.8971428571428568</v>
      </c>
      <c r="AX22" s="544">
        <f t="shared" si="38"/>
        <v>0.55071428571428571</v>
      </c>
      <c r="AY22" s="544">
        <f t="shared" si="38"/>
        <v>3.6999999999999998E-2</v>
      </c>
      <c r="AZ22" s="544">
        <f t="shared" si="38"/>
        <v>3.9428571428571426</v>
      </c>
      <c r="BA22" s="544">
        <f t="shared" si="38"/>
        <v>1.56</v>
      </c>
      <c r="BB22" s="544">
        <f t="shared" si="38"/>
        <v>3.1614285714285715</v>
      </c>
      <c r="CD22" s="691">
        <f>AVERAGE(CD7:CD20)</f>
        <v>0.71472670755430001</v>
      </c>
      <c r="CE22" s="691">
        <f>AVERAGE(CE7:CE20)</f>
        <v>0.77922388219512251</v>
      </c>
      <c r="CF22" s="691">
        <f>AVERAGE(CF7:CF20)</f>
        <v>0.99071428571428577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30">
        <v>0.01</v>
      </c>
      <c r="F23" s="29">
        <v>7.9000000000000008E-3</v>
      </c>
      <c r="G23" s="29">
        <v>2.8000000000000001E-2</v>
      </c>
      <c r="H23" s="30">
        <v>8.7999999999999995E-2</v>
      </c>
      <c r="I23" s="29">
        <v>1.7999999999999999E-2</v>
      </c>
      <c r="J23" s="29">
        <v>3.8999999999999998E-3</v>
      </c>
      <c r="K23" s="29">
        <v>1.4E-3</v>
      </c>
      <c r="L23" s="26">
        <v>8.0000000000000002E-3</v>
      </c>
      <c r="M23" s="30">
        <v>6.6</v>
      </c>
      <c r="N23" s="29">
        <v>0.47</v>
      </c>
      <c r="O23" s="29" t="s">
        <v>232</v>
      </c>
      <c r="P23" s="29">
        <v>1.6</v>
      </c>
      <c r="Q23" s="29">
        <v>4.5</v>
      </c>
      <c r="R23" s="29">
        <v>1.2E-2</v>
      </c>
      <c r="S23" s="29">
        <v>0.27</v>
      </c>
      <c r="T23" s="29">
        <v>0.12</v>
      </c>
      <c r="U23" s="29">
        <v>0.32</v>
      </c>
      <c r="V23" s="29">
        <v>0.19</v>
      </c>
      <c r="W23" s="29">
        <v>1.6</v>
      </c>
      <c r="X23" s="29">
        <v>1.4999999999999999E-2</v>
      </c>
      <c r="Y23" s="29">
        <v>0.31</v>
      </c>
      <c r="Z23" s="29">
        <v>0.2</v>
      </c>
      <c r="AA23" s="29">
        <v>2.4</v>
      </c>
      <c r="AB23" s="29">
        <v>4.2000000000000003E-2</v>
      </c>
      <c r="AC23" s="29">
        <v>1.7999999999999999E-2</v>
      </c>
      <c r="AD23" s="29">
        <v>1.7999999999999999E-2</v>
      </c>
      <c r="AE23" s="29">
        <v>6.3E-2</v>
      </c>
      <c r="AF23" s="29">
        <v>1.2999999999999999E-2</v>
      </c>
      <c r="AG23" s="29">
        <v>1.4E-2</v>
      </c>
      <c r="AH23" s="29">
        <v>5.3999999999999999E-2</v>
      </c>
      <c r="AI23" s="29">
        <v>1.7000000000000001E-2</v>
      </c>
      <c r="AJ23" s="29">
        <v>2.1999999999999999E-2</v>
      </c>
      <c r="AK23" s="29">
        <v>1.4E-2</v>
      </c>
      <c r="AL23" s="27">
        <v>1.7999999999999999E-2</v>
      </c>
      <c r="AM23" s="58">
        <v>1.2E-2</v>
      </c>
      <c r="AN23" s="58">
        <v>0.03</v>
      </c>
      <c r="AO23" s="58">
        <v>7.7999999999999996E-3</v>
      </c>
      <c r="AP23" s="59">
        <v>0.12</v>
      </c>
      <c r="AQ23" s="60"/>
      <c r="AR23" s="28">
        <v>4.3999999999999997E-2</v>
      </c>
      <c r="AS23" s="30">
        <v>0.13</v>
      </c>
      <c r="AT23" s="30">
        <v>0.1</v>
      </c>
      <c r="AU23" s="30">
        <v>4.3999999999999997E-2</v>
      </c>
      <c r="AV23" s="30">
        <v>2.7E-2</v>
      </c>
      <c r="AW23" s="29">
        <v>5.7000000000000002E-2</v>
      </c>
      <c r="AX23" s="27">
        <v>4.1000000000000002E-2</v>
      </c>
      <c r="AY23" s="27">
        <v>3.2000000000000001E-2</v>
      </c>
      <c r="AZ23" s="27"/>
      <c r="BA23" s="27"/>
      <c r="BB23" s="26">
        <v>0.28000000000000003</v>
      </c>
    </row>
    <row r="24" spans="2:85" ht="20.149999999999999" customHeight="1" x14ac:dyDescent="0.2">
      <c r="B24" s="692" t="s">
        <v>95</v>
      </c>
      <c r="C24" s="693"/>
      <c r="D24" s="61"/>
      <c r="E24" s="56">
        <v>3.4000000000000002E-2</v>
      </c>
      <c r="F24" s="55">
        <v>2.5999999999999999E-2</v>
      </c>
      <c r="G24" s="55">
        <v>9.4E-2</v>
      </c>
      <c r="H24" s="56">
        <v>0.28999999999999998</v>
      </c>
      <c r="I24" s="55">
        <v>6.2E-2</v>
      </c>
      <c r="J24" s="55">
        <v>1.2999999999999999E-2</v>
      </c>
      <c r="K24" s="55">
        <v>4.4999999999999997E-3</v>
      </c>
      <c r="L24" s="52">
        <v>2.7E-2</v>
      </c>
      <c r="M24" s="56">
        <v>22</v>
      </c>
      <c r="N24" s="55">
        <v>1.6</v>
      </c>
      <c r="O24" s="55" t="s">
        <v>232</v>
      </c>
      <c r="P24" s="55">
        <v>5.3</v>
      </c>
      <c r="Q24" s="55">
        <v>15</v>
      </c>
      <c r="R24" s="55">
        <v>0.04</v>
      </c>
      <c r="S24" s="55">
        <v>0.89</v>
      </c>
      <c r="T24" s="55">
        <v>0.39</v>
      </c>
      <c r="U24" s="55">
        <v>1.1000000000000001</v>
      </c>
      <c r="V24" s="55">
        <v>0.65</v>
      </c>
      <c r="W24" s="55">
        <v>5.4</v>
      </c>
      <c r="X24" s="55">
        <v>4.9000000000000002E-2</v>
      </c>
      <c r="Y24" s="55">
        <v>1</v>
      </c>
      <c r="Z24" s="55">
        <v>0.65</v>
      </c>
      <c r="AA24" s="55">
        <v>7.9</v>
      </c>
      <c r="AB24" s="55">
        <v>0.14000000000000001</v>
      </c>
      <c r="AC24" s="55">
        <v>6.0999999999999999E-2</v>
      </c>
      <c r="AD24" s="55">
        <v>5.8999999999999997E-2</v>
      </c>
      <c r="AE24" s="55">
        <v>0.21</v>
      </c>
      <c r="AF24" s="55">
        <v>4.2000000000000003E-2</v>
      </c>
      <c r="AG24" s="55">
        <v>4.8000000000000001E-2</v>
      </c>
      <c r="AH24" s="55">
        <v>0.18</v>
      </c>
      <c r="AI24" s="55">
        <v>5.8000000000000003E-2</v>
      </c>
      <c r="AJ24" s="55">
        <v>7.1999999999999995E-2</v>
      </c>
      <c r="AK24" s="55">
        <v>4.4999999999999998E-2</v>
      </c>
      <c r="AL24" s="53">
        <v>6.2E-2</v>
      </c>
      <c r="AM24" s="53">
        <v>3.9E-2</v>
      </c>
      <c r="AN24" s="53">
        <v>9.8000000000000004E-2</v>
      </c>
      <c r="AO24" s="53">
        <v>2.5999999999999999E-2</v>
      </c>
      <c r="AP24" s="55">
        <v>0.39</v>
      </c>
      <c r="AQ24" s="52"/>
      <c r="AR24" s="54">
        <v>0.15</v>
      </c>
      <c r="AS24" s="56">
        <v>0.45</v>
      </c>
      <c r="AT24" s="56">
        <v>0.34</v>
      </c>
      <c r="AU24" s="56">
        <v>0.15</v>
      </c>
      <c r="AV24" s="56">
        <v>8.8999999999999996E-2</v>
      </c>
      <c r="AW24" s="55">
        <v>0.19</v>
      </c>
      <c r="AX24" s="53">
        <v>0.14000000000000001</v>
      </c>
      <c r="AY24" s="53">
        <v>0.11</v>
      </c>
      <c r="AZ24" s="53"/>
      <c r="BA24" s="53"/>
      <c r="BB24" s="52">
        <v>0.92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35" priority="6" stopIfTrue="1" operator="notBetween">
      <formula>0.8</formula>
      <formula>1.2</formula>
    </cfRule>
  </conditionalFormatting>
  <conditionalFormatting sqref="BC7:BD20">
    <cfRule type="cellIs" dxfId="34" priority="5" stopIfTrue="1" operator="notBetween">
      <formula>0.9</formula>
      <formula>1.1</formula>
    </cfRule>
  </conditionalFormatting>
  <conditionalFormatting sqref="BP7:BP20">
    <cfRule type="cellIs" dxfId="33" priority="3" stopIfTrue="1" operator="notBetween">
      <formula>0.8</formula>
      <formula>1.2</formula>
    </cfRule>
  </conditionalFormatting>
  <conditionalFormatting sqref="CF7:CF20">
    <cfRule type="cellIs" dxfId="32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G203"/>
  <sheetViews>
    <sheetView tabSelected="1" zoomScaleNormal="100" workbookViewId="0">
      <pane xSplit="2" ySplit="1" topLeftCell="BL26" activePane="bottomRight" state="frozen"/>
      <selection pane="topRight" activeCell="C1" sqref="C1"/>
      <selection pane="bottomLeft" activeCell="A2" sqref="A2"/>
      <selection pane="bottomRight" activeCell="CG28" sqref="CG28"/>
    </sheetView>
  </sheetViews>
  <sheetFormatPr defaultRowHeight="13" x14ac:dyDescent="0.2"/>
  <cols>
    <col min="1" max="1" width="8.7265625" customWidth="1"/>
  </cols>
  <sheetData>
    <row r="1" spans="1:85" ht="16" x14ac:dyDescent="0.2">
      <c r="A1" s="568"/>
      <c r="B1" s="577" t="s">
        <v>8</v>
      </c>
      <c r="C1" s="570" t="s">
        <v>9</v>
      </c>
      <c r="D1" s="571" t="s">
        <v>10</v>
      </c>
      <c r="E1" s="571" t="s">
        <v>11</v>
      </c>
      <c r="F1" s="572" t="s">
        <v>12</v>
      </c>
      <c r="G1" s="571" t="s">
        <v>13</v>
      </c>
      <c r="H1" s="571" t="s">
        <v>14</v>
      </c>
      <c r="I1" s="571" t="s">
        <v>15</v>
      </c>
      <c r="J1" s="569" t="s">
        <v>16</v>
      </c>
      <c r="K1" s="573" t="s">
        <v>17</v>
      </c>
      <c r="L1" s="574" t="s">
        <v>18</v>
      </c>
      <c r="M1" s="574" t="s">
        <v>19</v>
      </c>
      <c r="N1" s="574" t="s">
        <v>20</v>
      </c>
      <c r="O1" s="574" t="s">
        <v>21</v>
      </c>
      <c r="P1" s="574" t="s">
        <v>22</v>
      </c>
      <c r="Q1" s="574" t="s">
        <v>23</v>
      </c>
      <c r="R1" s="574" t="s">
        <v>24</v>
      </c>
      <c r="S1" s="574" t="s">
        <v>25</v>
      </c>
      <c r="T1" s="574" t="s">
        <v>26</v>
      </c>
      <c r="U1" s="574" t="s">
        <v>27</v>
      </c>
      <c r="V1" s="574" t="s">
        <v>28</v>
      </c>
      <c r="W1" s="574" t="s">
        <v>29</v>
      </c>
      <c r="X1" s="574" t="s">
        <v>30</v>
      </c>
      <c r="Y1" s="574" t="s">
        <v>31</v>
      </c>
      <c r="Z1" s="574" t="s">
        <v>32</v>
      </c>
      <c r="AA1" s="574" t="s">
        <v>33</v>
      </c>
      <c r="AB1" s="574" t="s">
        <v>34</v>
      </c>
      <c r="AC1" s="574" t="s">
        <v>35</v>
      </c>
      <c r="AD1" s="574" t="s">
        <v>36</v>
      </c>
      <c r="AE1" s="574" t="s">
        <v>37</v>
      </c>
      <c r="AF1" s="574" t="s">
        <v>38</v>
      </c>
      <c r="AG1" s="574" t="s">
        <v>39</v>
      </c>
      <c r="AH1" s="574" t="s">
        <v>40</v>
      </c>
      <c r="AI1" s="574" t="s">
        <v>41</v>
      </c>
      <c r="AJ1" s="575" t="s">
        <v>42</v>
      </c>
      <c r="AK1" s="575" t="s">
        <v>43</v>
      </c>
      <c r="AL1" s="575" t="s">
        <v>44</v>
      </c>
      <c r="AM1" s="575" t="s">
        <v>45</v>
      </c>
      <c r="AN1" s="574" t="s">
        <v>46</v>
      </c>
      <c r="AO1" s="575" t="s">
        <v>607</v>
      </c>
      <c r="AP1" s="570" t="s">
        <v>48</v>
      </c>
      <c r="AQ1" s="572" t="s">
        <v>49</v>
      </c>
      <c r="AR1" s="572" t="s">
        <v>50</v>
      </c>
      <c r="AS1" s="572" t="s">
        <v>51</v>
      </c>
      <c r="AT1" s="572" t="s">
        <v>52</v>
      </c>
      <c r="AU1" s="571" t="s">
        <v>53</v>
      </c>
      <c r="AV1" s="569" t="s">
        <v>54</v>
      </c>
      <c r="AW1" s="569" t="s">
        <v>55</v>
      </c>
      <c r="AX1" s="576" t="s">
        <v>56</v>
      </c>
      <c r="AY1" s="569" t="s">
        <v>57</v>
      </c>
      <c r="AZ1" s="577" t="s">
        <v>58</v>
      </c>
      <c r="BA1" s="566" t="s">
        <v>56</v>
      </c>
      <c r="BB1" s="689" t="s">
        <v>608</v>
      </c>
      <c r="BC1" s="688" t="s">
        <v>661</v>
      </c>
      <c r="BD1" t="s">
        <v>609</v>
      </c>
      <c r="BE1" t="s">
        <v>610</v>
      </c>
      <c r="BF1" t="s">
        <v>611</v>
      </c>
      <c r="BG1" t="s">
        <v>612</v>
      </c>
      <c r="BH1" t="s">
        <v>613</v>
      </c>
      <c r="BI1" t="s">
        <v>614</v>
      </c>
      <c r="BJ1" t="s">
        <v>615</v>
      </c>
      <c r="BK1" t="s">
        <v>616</v>
      </c>
      <c r="BL1" t="s">
        <v>151</v>
      </c>
      <c r="BM1" t="s">
        <v>617</v>
      </c>
      <c r="BN1" t="s">
        <v>660</v>
      </c>
      <c r="BP1" t="s">
        <v>611</v>
      </c>
      <c r="BQ1" t="s">
        <v>610</v>
      </c>
      <c r="BR1" t="s">
        <v>612</v>
      </c>
      <c r="BS1" t="s">
        <v>56</v>
      </c>
      <c r="BT1" t="s">
        <v>57</v>
      </c>
      <c r="BU1" t="s">
        <v>618</v>
      </c>
      <c r="BV1" t="s">
        <v>619</v>
      </c>
      <c r="BW1" t="s">
        <v>620</v>
      </c>
      <c r="BX1" t="s">
        <v>621</v>
      </c>
      <c r="BY1" t="s">
        <v>622</v>
      </c>
      <c r="BZ1" t="s">
        <v>623</v>
      </c>
      <c r="CB1" t="s">
        <v>662</v>
      </c>
      <c r="CC1" t="s">
        <v>664</v>
      </c>
      <c r="CD1" t="s">
        <v>666</v>
      </c>
      <c r="CE1" t="s">
        <v>668</v>
      </c>
      <c r="CG1" t="s">
        <v>670</v>
      </c>
    </row>
    <row r="2" spans="1:85" x14ac:dyDescent="0.2">
      <c r="A2" t="s">
        <v>571</v>
      </c>
      <c r="B2" s="567">
        <f>土浦!D21</f>
        <v>27</v>
      </c>
      <c r="C2" s="619">
        <f>土浦!E21</f>
        <v>4.9928571428571435E-3</v>
      </c>
      <c r="D2" s="564">
        <f>土浦!F21</f>
        <v>0.23485714285714285</v>
      </c>
      <c r="E2" s="564">
        <f>土浦!G21</f>
        <v>9.9857142857142858</v>
      </c>
      <c r="F2" s="610">
        <f>土浦!H21</f>
        <v>0.15057142857142858</v>
      </c>
      <c r="G2" s="564">
        <f>土浦!I21</f>
        <v>3.7857142857142856</v>
      </c>
      <c r="H2" s="564">
        <f>土浦!J21</f>
        <v>9.6000000000000002E-2</v>
      </c>
      <c r="I2" s="610">
        <f>土浦!K21</f>
        <v>2.471428571428572E-2</v>
      </c>
      <c r="J2" s="564">
        <f>土浦!L21</f>
        <v>4.9714285714285725E-2</v>
      </c>
      <c r="K2" s="565" t="e">
        <f>土浦!M21</f>
        <v>#DIV/0!</v>
      </c>
      <c r="L2" s="564">
        <f>土浦!N21</f>
        <v>28</v>
      </c>
      <c r="M2" s="564" t="e">
        <f>土浦!O21</f>
        <v>#DIV/0!</v>
      </c>
      <c r="N2" s="564" t="e">
        <f>土浦!P21</f>
        <v>#DIV/0!</v>
      </c>
      <c r="O2" s="564" t="e">
        <f>土浦!Q21</f>
        <v>#DIV/0!</v>
      </c>
      <c r="P2" s="564">
        <f>土浦!R21</f>
        <v>1.057142857142857E-2</v>
      </c>
      <c r="Q2" s="564">
        <f>土浦!S21</f>
        <v>8.071428571428573</v>
      </c>
      <c r="R2" s="564">
        <f>土浦!T21</f>
        <v>8.5071428571428562</v>
      </c>
      <c r="S2" s="564">
        <f>土浦!U21</f>
        <v>1.6985714285714284</v>
      </c>
      <c r="T2" s="564">
        <f>土浦!V21</f>
        <v>9.0371428571428574</v>
      </c>
      <c r="U2" s="564">
        <f>土浦!W21</f>
        <v>76</v>
      </c>
      <c r="V2" s="564">
        <f>土浦!X21</f>
        <v>0.52285714285714291</v>
      </c>
      <c r="W2" s="564">
        <f>土浦!Y21</f>
        <v>8.3571428571428577</v>
      </c>
      <c r="X2" s="564">
        <f>土浦!Z21</f>
        <v>3.8071428571428569</v>
      </c>
      <c r="Y2" s="564">
        <f>土浦!AA21</f>
        <v>31</v>
      </c>
      <c r="Z2" s="564">
        <f>土浦!AB21</f>
        <v>1.2369285714285714</v>
      </c>
      <c r="AA2" s="564">
        <f>土浦!AC21</f>
        <v>0.1637142857142857</v>
      </c>
      <c r="AB2" s="564" t="e">
        <f>土浦!AD21</f>
        <v>#DIV/0!</v>
      </c>
      <c r="AC2" s="564">
        <f>土浦!AE21</f>
        <v>0.6</v>
      </c>
      <c r="AD2" s="564">
        <f>土浦!AF21</f>
        <v>1.1485714285714284</v>
      </c>
      <c r="AE2" s="564">
        <f>土浦!AG21</f>
        <v>3.3042857142857145E-2</v>
      </c>
      <c r="AF2" s="564">
        <f>土浦!AH21</f>
        <v>3.1742857142857139</v>
      </c>
      <c r="AG2" s="564">
        <f>土浦!AI21</f>
        <v>8.1928571428571434E-2</v>
      </c>
      <c r="AH2" s="564">
        <f>土浦!AJ21</f>
        <v>9.4999999999999987E-2</v>
      </c>
      <c r="AI2" s="564">
        <f>土浦!AK21</f>
        <v>3.4500000000000008E-3</v>
      </c>
      <c r="AJ2" s="564">
        <f>土浦!AL21</f>
        <v>5.3928571428571437E-2</v>
      </c>
      <c r="AK2" s="564">
        <f>土浦!AM21</f>
        <v>0.23057142857142859</v>
      </c>
      <c r="AL2" s="564" t="e">
        <f>土浦!AN21</f>
        <v>#DIV/0!</v>
      </c>
      <c r="AM2" s="564">
        <f>土浦!AO21</f>
        <v>1.55E-2</v>
      </c>
      <c r="AN2" s="564">
        <f>土浦!AP21</f>
        <v>6.9571428571428573</v>
      </c>
      <c r="AO2" s="564" t="e">
        <f>土浦!AQ21</f>
        <v>#DIV/0!</v>
      </c>
      <c r="AP2" s="565">
        <f>土浦!AR21</f>
        <v>0.127</v>
      </c>
      <c r="AQ2" s="564">
        <f>土浦!AS21</f>
        <v>1.5857142857142854</v>
      </c>
      <c r="AR2" s="564">
        <f>土浦!AT21</f>
        <v>0.7242857142857142</v>
      </c>
      <c r="AS2" s="564">
        <f>土浦!AU21</f>
        <v>0.81714285714285695</v>
      </c>
      <c r="AT2" s="564">
        <f>土浦!AV21</f>
        <v>1.1814285714285713</v>
      </c>
      <c r="AU2" s="564">
        <f>土浦!AW21</f>
        <v>1.8571428571428572</v>
      </c>
      <c r="AV2" s="564">
        <f>土浦!AX21</f>
        <v>0.18857142857142858</v>
      </c>
      <c r="AW2" s="564">
        <f>土浦!AY21</f>
        <v>5.5E-2</v>
      </c>
      <c r="AX2" s="565">
        <f>土浦!AZ21</f>
        <v>4.4571428571428573</v>
      </c>
      <c r="AY2" s="564">
        <f>土浦!BA21</f>
        <v>0.87285714285714289</v>
      </c>
      <c r="AZ2" s="567">
        <f>土浦!BB21</f>
        <v>3.7857142857142856</v>
      </c>
      <c r="BA2" s="565">
        <f>SUM(AP2:AT2)</f>
        <v>4.4355714285714276</v>
      </c>
      <c r="BB2" s="586">
        <f>SUM(AU2:AW2)-AT2</f>
        <v>0.91928571428571471</v>
      </c>
      <c r="BC2" s="586">
        <f>B2-SUM(C2:J2,AX2:AY2)</f>
        <v>7.3377214285714274</v>
      </c>
      <c r="BD2" s="610">
        <f>C2/35.5</f>
        <v>1.4064386317907447E-4</v>
      </c>
      <c r="BE2" s="610">
        <f>D2/62</f>
        <v>3.7880184331797232E-3</v>
      </c>
      <c r="BF2" s="610">
        <f>E2/(96/2)</f>
        <v>0.2080357142857143</v>
      </c>
      <c r="BG2" s="610">
        <f>F2/23</f>
        <v>6.5465838509316775E-3</v>
      </c>
      <c r="BH2" s="610">
        <f>G2/18</f>
        <v>0.21031746031746032</v>
      </c>
      <c r="BI2" s="610">
        <f>H2/39</f>
        <v>2.4615384615384616E-3</v>
      </c>
      <c r="BJ2" s="610">
        <f>I2/(24.3/2)</f>
        <v>2.0340975896531457E-3</v>
      </c>
      <c r="BK2" s="610">
        <f>J2/(40/2)</f>
        <v>2.4857142857142864E-3</v>
      </c>
      <c r="BL2" s="610">
        <f>SUM(BE2:BF2)</f>
        <v>0.21182373271889401</v>
      </c>
      <c r="BM2" s="610">
        <f>SUM(BG2:BK2)</f>
        <v>0.22384539450529789</v>
      </c>
      <c r="BN2" s="611">
        <f t="shared" ref="BN2:BN25" si="0">BL2/BM2</f>
        <v>0.94629479952905915</v>
      </c>
      <c r="BP2" s="564">
        <f>1.375*E2</f>
        <v>13.730357142857143</v>
      </c>
      <c r="BQ2" s="564">
        <f>1.29*D2</f>
        <v>0.30296571428571428</v>
      </c>
      <c r="BR2" s="564">
        <f>2.5*F2</f>
        <v>0.37642857142857145</v>
      </c>
      <c r="BS2" s="564">
        <f>1.6*AX2</f>
        <v>7.1314285714285717</v>
      </c>
      <c r="BT2" s="564">
        <f>AY2</f>
        <v>0.87285714285714289</v>
      </c>
      <c r="BU2" s="564">
        <f>9.19/1000*L2</f>
        <v>0.25731999999999999</v>
      </c>
      <c r="BV2" s="564"/>
      <c r="BW2" s="564">
        <f>U2/1000*1.38</f>
        <v>0.10487999999999999</v>
      </c>
      <c r="BX2" s="564">
        <f>Q2/1000*1.67</f>
        <v>1.3479285714285716E-2</v>
      </c>
      <c r="BY2" s="564">
        <f>SUM(BP2:BX2)</f>
        <v>22.789716428571428</v>
      </c>
      <c r="BZ2" s="610">
        <f>BY2/B2</f>
        <v>0.84406357142857136</v>
      </c>
      <c r="CB2" s="610">
        <f>土浦!CD21</f>
        <v>0.83687379693409958</v>
      </c>
      <c r="CC2" s="610">
        <f>土浦!CE21</f>
        <v>0.84749233026543958</v>
      </c>
      <c r="CD2" s="610">
        <f>土浦!CF21</f>
        <v>0.6757142857142856</v>
      </c>
      <c r="CE2" s="610">
        <f>土浦!CG21</f>
        <v>0.24357142857142858</v>
      </c>
      <c r="CG2" s="564">
        <v>39.125748502994014</v>
      </c>
    </row>
    <row r="3" spans="1:85" x14ac:dyDescent="0.2">
      <c r="A3" t="s">
        <v>594</v>
      </c>
      <c r="B3" s="567">
        <f>真岡!D21</f>
        <v>23.528571428571432</v>
      </c>
      <c r="C3" s="619">
        <f>真岡!E21</f>
        <v>1.0999999999999998E-2</v>
      </c>
      <c r="D3" s="564">
        <f>真岡!F21</f>
        <v>0.15714285714285717</v>
      </c>
      <c r="E3" s="564">
        <f>真岡!G21</f>
        <v>8.7571428571428562</v>
      </c>
      <c r="F3" s="610">
        <f>真岡!H21</f>
        <v>0.113</v>
      </c>
      <c r="G3" s="564">
        <f>真岡!I21</f>
        <v>3.1</v>
      </c>
      <c r="H3" s="564">
        <f>真岡!J21</f>
        <v>0.22185714285714284</v>
      </c>
      <c r="I3" s="610">
        <f>真岡!K21</f>
        <v>2.1914285714285713E-2</v>
      </c>
      <c r="J3" s="564">
        <f>真岡!L21</f>
        <v>2.7E-2</v>
      </c>
      <c r="K3" s="565">
        <f>真岡!M21</f>
        <v>127.85714285714286</v>
      </c>
      <c r="L3" s="564">
        <f>真岡!N21</f>
        <v>42.714285714285715</v>
      </c>
      <c r="M3" s="564" t="e">
        <f>真岡!O21</f>
        <v>#DIV/0!</v>
      </c>
      <c r="N3" s="564">
        <f>真岡!P21</f>
        <v>221.28571428571428</v>
      </c>
      <c r="O3" s="564">
        <f>真岡!Q21</f>
        <v>33.428571428571431</v>
      </c>
      <c r="P3" s="564">
        <f>真岡!R21</f>
        <v>5.8571428571428566E-2</v>
      </c>
      <c r="Q3" s="564">
        <f>真岡!S21</f>
        <v>3.6785714285714284</v>
      </c>
      <c r="R3" s="564">
        <f>真岡!T21</f>
        <v>6.0428571428571427</v>
      </c>
      <c r="S3" s="564">
        <f>真岡!U21</f>
        <v>0.72071428571428575</v>
      </c>
      <c r="T3" s="564">
        <f>真岡!V21</f>
        <v>3.9857142857142862</v>
      </c>
      <c r="U3" s="564">
        <f>真岡!W21</f>
        <v>71.357142857142861</v>
      </c>
      <c r="V3" s="564">
        <f>真岡!X21</f>
        <v>5.5142857142857139E-2</v>
      </c>
      <c r="W3" s="564">
        <f>真岡!Y21</f>
        <v>2.2000000000000002</v>
      </c>
      <c r="X3" s="564">
        <f>真岡!Z21</f>
        <v>6.1285714285714281</v>
      </c>
      <c r="Y3" s="564">
        <f>真岡!AA21</f>
        <v>37.357142857142854</v>
      </c>
      <c r="Z3" s="564">
        <f>真岡!AB21</f>
        <v>1.1657142857142857</v>
      </c>
      <c r="AA3" s="564">
        <f>真岡!AC21</f>
        <v>1.945714285714286</v>
      </c>
      <c r="AB3" s="564">
        <f>真岡!AD21</f>
        <v>0.26428571428571435</v>
      </c>
      <c r="AC3" s="564">
        <f>真岡!AE21</f>
        <v>0.34285714285714286</v>
      </c>
      <c r="AD3" s="564">
        <f>真岡!AF21</f>
        <v>1.8557142857142856</v>
      </c>
      <c r="AE3" s="564">
        <f>真岡!AG21</f>
        <v>4.9999999999999996E-2</v>
      </c>
      <c r="AF3" s="564">
        <f>真岡!AH21</f>
        <v>9.8571428571428577</v>
      </c>
      <c r="AG3" s="564">
        <f>真岡!AI21</f>
        <v>7.4285714285714288E-2</v>
      </c>
      <c r="AH3" s="564">
        <f>真岡!AJ21</f>
        <v>6.6857142857142851E-2</v>
      </c>
      <c r="AI3" s="564">
        <f>真岡!AK21</f>
        <v>0.06</v>
      </c>
      <c r="AJ3" s="564">
        <f>真岡!AL21</f>
        <v>0.23571428571428574</v>
      </c>
      <c r="AK3" s="564">
        <f>真岡!AM21</f>
        <v>0.32857142857142863</v>
      </c>
      <c r="AL3" s="564">
        <f>真岡!AN21</f>
        <v>0.18500000000000003</v>
      </c>
      <c r="AM3" s="564">
        <f>真岡!AO21</f>
        <v>7.4999999999999997E-2</v>
      </c>
      <c r="AN3" s="564">
        <f>真岡!AP21</f>
        <v>6.8142857142857149</v>
      </c>
      <c r="AO3" s="587">
        <f>真岡!AR21</f>
        <v>0.22999999999999998</v>
      </c>
      <c r="AP3" s="565">
        <f>真岡!AS21</f>
        <v>4.2499999999999996E-2</v>
      </c>
      <c r="AQ3" s="587">
        <f>真岡!AT21</f>
        <v>1.0885714285714287</v>
      </c>
      <c r="AR3" s="587">
        <f>真岡!AU21</f>
        <v>0.68285714285714294</v>
      </c>
      <c r="AS3" s="587">
        <f>真岡!AV21</f>
        <v>0.34285714285714292</v>
      </c>
      <c r="AT3" s="587">
        <f>真岡!AW21</f>
        <v>2.1714285714285713</v>
      </c>
      <c r="AU3" s="587">
        <f>真岡!AX21</f>
        <v>2.3285714285714287</v>
      </c>
      <c r="AV3" s="587">
        <f>真岡!AY21</f>
        <v>1.172857142857143</v>
      </c>
      <c r="AW3" s="587">
        <f>真岡!AZ21</f>
        <v>5.2428571428571429E-2</v>
      </c>
      <c r="AX3" s="565">
        <f>真岡!BA21</f>
        <v>4.2857142857142856</v>
      </c>
      <c r="AY3" s="586">
        <f>真岡!BB21</f>
        <v>1.3942857142857144</v>
      </c>
      <c r="AZ3" s="567">
        <f>真岡!BC21</f>
        <v>3.9142857142857141</v>
      </c>
      <c r="BA3" s="565">
        <f t="shared" ref="BA3:BA25" si="1">SUM(AP3:AT3)</f>
        <v>4.328214285714286</v>
      </c>
      <c r="BB3" s="586">
        <f t="shared" ref="BB3:BB25" si="2">SUM(AU3:AW3)-AT3</f>
        <v>1.382428571428572</v>
      </c>
      <c r="BC3" s="586">
        <f t="shared" ref="BC3:BC25" si="3">B3-SUM(C3:J3,AX3:AY3)</f>
        <v>5.4395142857142922</v>
      </c>
      <c r="BD3" s="610">
        <f t="shared" ref="BD3:BD25" si="4">C3/35.5</f>
        <v>3.0985915492957742E-4</v>
      </c>
      <c r="BE3" s="610">
        <f t="shared" ref="BE3:BE25" si="5">D3/62</f>
        <v>2.534562211981567E-3</v>
      </c>
      <c r="BF3" s="610">
        <f t="shared" ref="BF3:BF25" si="6">E3/(96/2)</f>
        <v>0.18244047619047618</v>
      </c>
      <c r="BG3" s="610">
        <f t="shared" ref="BG3:BG25" si="7">F3/23</f>
        <v>4.9130434782608699E-3</v>
      </c>
      <c r="BH3" s="610">
        <f t="shared" ref="BH3:BH25" si="8">G3/18</f>
        <v>0.17222222222222222</v>
      </c>
      <c r="BI3" s="610">
        <f t="shared" ref="BI3:BI25" si="9">H3/39</f>
        <v>5.6886446886446878E-3</v>
      </c>
      <c r="BJ3" s="610">
        <f t="shared" ref="BJ3:BJ25" si="10">I3/(24.3/2)</f>
        <v>1.8036449147560256E-3</v>
      </c>
      <c r="BK3" s="610">
        <f t="shared" ref="BK3:BK25" si="11">J3/(40/2)</f>
        <v>1.3500000000000001E-3</v>
      </c>
      <c r="BL3" s="610">
        <f t="shared" ref="BL3:BL25" si="12">SUM(BD3:BF3)</f>
        <v>0.18528489755738733</v>
      </c>
      <c r="BM3" s="610">
        <f t="shared" ref="BM3:BM25" si="13">SUM(BG3:BK3)</f>
        <v>0.1859775553038838</v>
      </c>
      <c r="BN3" s="611">
        <f t="shared" si="0"/>
        <v>0.99627558419420736</v>
      </c>
      <c r="BP3" s="564">
        <f>1.375*E3</f>
        <v>12.041071428571428</v>
      </c>
      <c r="BQ3" s="564">
        <f>1.29*D3</f>
        <v>0.20271428571428576</v>
      </c>
      <c r="BR3" s="564">
        <f>2.5*F3</f>
        <v>0.28250000000000003</v>
      </c>
      <c r="BS3" s="564">
        <f>1.6*AX3</f>
        <v>6.8571428571428577</v>
      </c>
      <c r="BT3" s="564">
        <f>AY3</f>
        <v>1.3942857142857144</v>
      </c>
      <c r="BU3" s="564">
        <f>9.19/1000*L3</f>
        <v>0.39254428571428573</v>
      </c>
      <c r="BV3" s="564">
        <f>O3/1000*1.4</f>
        <v>4.6800000000000001E-2</v>
      </c>
      <c r="BW3" s="564">
        <f>U3/1000*1.38</f>
        <v>9.8472857142857126E-2</v>
      </c>
      <c r="BX3" s="564">
        <f>Q3/1000*1.67</f>
        <v>6.1432142857142848E-3</v>
      </c>
      <c r="BY3" s="564">
        <f t="shared" ref="BY3:BY25" si="14">SUM(BP3:BX3)</f>
        <v>21.321674642857147</v>
      </c>
      <c r="BZ3" s="610">
        <f t="shared" ref="BZ3:BZ25" si="15">BY3/B3</f>
        <v>0.90620353673345477</v>
      </c>
      <c r="CB3" s="676">
        <f>真岡!CE21</f>
        <v>0.75653255738676706</v>
      </c>
      <c r="CC3" s="676">
        <f>真岡!CF21</f>
        <v>0.91325735757045601</v>
      </c>
      <c r="CD3" s="676">
        <f>真岡!CG21</f>
        <v>0.32857142857142863</v>
      </c>
      <c r="CE3" s="676">
        <f>真岡!CH21</f>
        <v>1.053857142857143</v>
      </c>
      <c r="CG3" s="564">
        <v>37.269461077844312</v>
      </c>
    </row>
    <row r="4" spans="1:85" x14ac:dyDescent="0.2">
      <c r="A4" t="s">
        <v>284</v>
      </c>
      <c r="B4" s="567">
        <f>前橋!D21</f>
        <v>16.885714285714286</v>
      </c>
      <c r="C4" s="619">
        <f>前橋!E21</f>
        <v>8.0000000000000002E-3</v>
      </c>
      <c r="D4" s="564">
        <f>前橋!F21</f>
        <v>0.15607142857142858</v>
      </c>
      <c r="E4" s="564">
        <f>前橋!G21</f>
        <v>4.4571428571428573</v>
      </c>
      <c r="F4" s="610">
        <f>前橋!H21</f>
        <v>2.525714285714286E-2</v>
      </c>
      <c r="G4" s="564">
        <f>前橋!I21</f>
        <v>1.6142857142857143</v>
      </c>
      <c r="H4" s="564">
        <f>前橋!J21</f>
        <v>6.1285714285714291E-2</v>
      </c>
      <c r="I4" s="610">
        <f>前橋!K21</f>
        <v>7.4999999999999997E-3</v>
      </c>
      <c r="J4" s="564">
        <f>前橋!L21</f>
        <v>2.8714285714285713E-2</v>
      </c>
      <c r="K4" s="565">
        <f>前橋!M21</f>
        <v>20.5</v>
      </c>
      <c r="L4" s="564">
        <f>前橋!N21</f>
        <v>50.071428571428569</v>
      </c>
      <c r="M4" s="564" t="e">
        <f>前橋!O21</f>
        <v>#DIV/0!</v>
      </c>
      <c r="N4" s="564">
        <f>前橋!P21</f>
        <v>65.571428571428569</v>
      </c>
      <c r="O4" s="564">
        <f>前橋!Q21</f>
        <v>85</v>
      </c>
      <c r="P4" s="564">
        <f>前橋!R21</f>
        <v>9.1428571428571435E-3</v>
      </c>
      <c r="Q4" s="564" t="e">
        <f>前橋!S21</f>
        <v>#DIV/0!</v>
      </c>
      <c r="R4" s="564">
        <f>前橋!T21</f>
        <v>2.5</v>
      </c>
      <c r="S4" s="564">
        <f>前橋!U21</f>
        <v>0.75714285714285701</v>
      </c>
      <c r="T4" s="564">
        <f>前橋!V21</f>
        <v>3.9142857142857141</v>
      </c>
      <c r="U4" s="564">
        <f>前橋!W21</f>
        <v>64.142857142857139</v>
      </c>
      <c r="V4" s="564">
        <f>前橋!X21</f>
        <v>0.1542857142857143</v>
      </c>
      <c r="W4" s="564">
        <f>前橋!Y21</f>
        <v>0.60357142857142854</v>
      </c>
      <c r="X4" s="564">
        <f>前橋!Z21</f>
        <v>1.657142857142857</v>
      </c>
      <c r="Y4" s="564">
        <f>前橋!AA21</f>
        <v>16.071428571428573</v>
      </c>
      <c r="Z4" s="564">
        <f>前橋!AB21</f>
        <v>0.65</v>
      </c>
      <c r="AA4" s="564">
        <f>前橋!AC21</f>
        <v>0.67857142857142871</v>
      </c>
      <c r="AB4" s="564">
        <f>前橋!AD21</f>
        <v>0.15</v>
      </c>
      <c r="AC4" s="564">
        <f>前橋!AE21</f>
        <v>0.31142857142857144</v>
      </c>
      <c r="AD4" s="564" t="e">
        <f>前橋!AF21</f>
        <v>#DIV/0!</v>
      </c>
      <c r="AE4" s="564">
        <f>前橋!AG21</f>
        <v>1.7500000000000002E-2</v>
      </c>
      <c r="AF4" s="564">
        <f>前橋!AH21</f>
        <v>3.0428571428571431</v>
      </c>
      <c r="AG4" s="564">
        <f>前橋!AI21</f>
        <v>4.8285714285714286E-2</v>
      </c>
      <c r="AH4" s="564">
        <f>前橋!AJ21</f>
        <v>6.7142857142857143E-2</v>
      </c>
      <c r="AI4" s="564">
        <f>前橋!AK21</f>
        <v>3.9071428571428573E-3</v>
      </c>
      <c r="AJ4" s="564">
        <f>前橋!AL21</f>
        <v>1.1499999999999998E-2</v>
      </c>
      <c r="AK4" s="564">
        <f>前橋!AM21</f>
        <v>9.0571428571428567E-2</v>
      </c>
      <c r="AL4" s="564">
        <f>前橋!AN21</f>
        <v>1.2499999999999999E-2</v>
      </c>
      <c r="AM4" s="564">
        <f>前橋!AO21</f>
        <v>0.01</v>
      </c>
      <c r="AN4" s="564">
        <f>前橋!AP21</f>
        <v>3.2285714285714286</v>
      </c>
      <c r="AO4" s="564" t="e">
        <f>前橋!AQ21</f>
        <v>#DIV/0!</v>
      </c>
      <c r="AP4" s="565">
        <f>前橋!AR21</f>
        <v>0.29857142857142854</v>
      </c>
      <c r="AQ4" s="564">
        <f>前橋!AS21</f>
        <v>1.0385714285714287</v>
      </c>
      <c r="AR4" s="564">
        <f>前橋!AT21</f>
        <v>0.82571428571428573</v>
      </c>
      <c r="AS4" s="564">
        <f>前橋!AU21</f>
        <v>0.57428571428571418</v>
      </c>
      <c r="AT4" s="564">
        <f>前橋!AV21</f>
        <v>0.99142857142857144</v>
      </c>
      <c r="AU4" s="564">
        <f>前橋!AW21</f>
        <v>1.1985714285714284</v>
      </c>
      <c r="AV4" s="564">
        <f>前橋!AX21</f>
        <v>1.0385714285714287</v>
      </c>
      <c r="AW4" s="564">
        <f>前橋!AY21</f>
        <v>9.3571428571428569E-2</v>
      </c>
      <c r="AX4" s="565">
        <f>前橋!AZ21</f>
        <v>3.7285714285714286</v>
      </c>
      <c r="AY4" s="564">
        <f>前橋!BA21</f>
        <v>1.3285714285714285</v>
      </c>
      <c r="AZ4" s="567">
        <f>前橋!BB21</f>
        <v>2.871428571428571</v>
      </c>
      <c r="BA4" s="565">
        <f t="shared" si="1"/>
        <v>3.7285714285714286</v>
      </c>
      <c r="BB4" s="586">
        <f t="shared" si="2"/>
        <v>1.339285714285714</v>
      </c>
      <c r="BC4" s="586">
        <f t="shared" si="3"/>
        <v>5.4703142857142844</v>
      </c>
      <c r="BD4" s="610">
        <f t="shared" si="4"/>
        <v>2.2535211267605634E-4</v>
      </c>
      <c r="BE4" s="610">
        <f t="shared" si="5"/>
        <v>2.5172811059907835E-3</v>
      </c>
      <c r="BF4" s="610">
        <f t="shared" si="6"/>
        <v>9.285714285714286E-2</v>
      </c>
      <c r="BG4" s="610">
        <f t="shared" si="7"/>
        <v>1.0981366459627329E-3</v>
      </c>
      <c r="BH4" s="610">
        <f t="shared" si="8"/>
        <v>8.9682539682539683E-2</v>
      </c>
      <c r="BI4" s="610">
        <f t="shared" si="9"/>
        <v>1.5714285714285715E-3</v>
      </c>
      <c r="BJ4" s="610">
        <f t="shared" si="10"/>
        <v>6.1728395061728394E-4</v>
      </c>
      <c r="BK4" s="610">
        <f t="shared" si="11"/>
        <v>1.4357142857142856E-3</v>
      </c>
      <c r="BL4" s="610">
        <f t="shared" si="12"/>
        <v>9.5599776075809703E-2</v>
      </c>
      <c r="BM4" s="610">
        <f t="shared" si="13"/>
        <v>9.4405103136262561E-2</v>
      </c>
      <c r="BN4" s="611">
        <f t="shared" si="0"/>
        <v>1.0126547495830047</v>
      </c>
      <c r="BP4" s="564">
        <f t="shared" ref="BP4:BP25" si="16">1.375*E4</f>
        <v>6.128571428571429</v>
      </c>
      <c r="BQ4" s="564">
        <f t="shared" ref="BQ4:BQ25" si="17">1.29*D4</f>
        <v>0.20133214285714288</v>
      </c>
      <c r="BR4" s="564">
        <f t="shared" ref="BR4:BR25" si="18">2.5*F4</f>
        <v>6.3142857142857153E-2</v>
      </c>
      <c r="BS4" s="564">
        <f t="shared" ref="BS4:BS25" si="19">1.6*AX4</f>
        <v>5.9657142857142862</v>
      </c>
      <c r="BT4" s="564">
        <f t="shared" ref="BT4:BT25" si="20">AY4</f>
        <v>1.3285714285714285</v>
      </c>
      <c r="BU4" s="564">
        <f t="shared" ref="BU4:BU25" si="21">9.19/1000*L4</f>
        <v>0.46015642857142858</v>
      </c>
      <c r="BV4" s="564">
        <f t="shared" ref="BV4:BV25" si="22">O4/1000*1.4</f>
        <v>0.11899999999999999</v>
      </c>
      <c r="BW4" s="564">
        <f t="shared" ref="BW4:BW25" si="23">U4/1000*1.38</f>
        <v>8.851714285714285E-2</v>
      </c>
      <c r="BX4" s="564"/>
      <c r="BY4" s="564">
        <f t="shared" si="14"/>
        <v>14.355005714285715</v>
      </c>
      <c r="BZ4" s="610">
        <f t="shared" si="15"/>
        <v>0.850127241962775</v>
      </c>
      <c r="CB4" s="610">
        <f>前橋!CD21</f>
        <v>0.73328493929102656</v>
      </c>
      <c r="CC4" s="610">
        <f>前橋!CE21</f>
        <v>0.76969968677185385</v>
      </c>
      <c r="CD4" s="610">
        <f>前橋!CF21</f>
        <v>0.20714285714285724</v>
      </c>
      <c r="CE4" s="610">
        <f>前橋!CG21</f>
        <v>1.1321428571428573</v>
      </c>
      <c r="CG4" s="564">
        <v>45.401197604790418</v>
      </c>
    </row>
    <row r="5" spans="1:85" x14ac:dyDescent="0.2">
      <c r="A5" t="s">
        <v>320</v>
      </c>
      <c r="B5" s="567">
        <f>館林!D21</f>
        <v>23.528571428571428</v>
      </c>
      <c r="C5" s="619">
        <f>館林!E21</f>
        <v>8.0000000000000002E-3</v>
      </c>
      <c r="D5" s="564">
        <f>館林!F21</f>
        <v>0.11614285714285714</v>
      </c>
      <c r="E5" s="564">
        <f>館林!G21</f>
        <v>7.0428571428571427</v>
      </c>
      <c r="F5" s="610">
        <f>館林!H21</f>
        <v>9.0857142857142859E-2</v>
      </c>
      <c r="G5" s="564">
        <f>館林!I21</f>
        <v>2.4285714285714284</v>
      </c>
      <c r="H5" s="564">
        <f>館林!J21</f>
        <v>8.9714285714285719E-2</v>
      </c>
      <c r="I5" s="610">
        <f>館林!K21</f>
        <v>1.5357142857142859E-2</v>
      </c>
      <c r="J5" s="564">
        <f>館林!L21</f>
        <v>5.0999999999999997E-2</v>
      </c>
      <c r="K5" s="565">
        <f>館林!M21</f>
        <v>111.71428571428571</v>
      </c>
      <c r="L5" s="564">
        <f>館林!N21</f>
        <v>48.571428571428569</v>
      </c>
      <c r="M5" s="564" t="e">
        <f>館林!O21</f>
        <v>#DIV/0!</v>
      </c>
      <c r="N5" s="564">
        <f>館林!P21</f>
        <v>138</v>
      </c>
      <c r="O5" s="564">
        <f>館林!Q21</f>
        <v>85</v>
      </c>
      <c r="P5" s="564">
        <f>館林!R21</f>
        <v>1.5000000000000001E-2</v>
      </c>
      <c r="Q5" s="564" t="e">
        <f>館林!S21</f>
        <v>#DIV/0!</v>
      </c>
      <c r="R5" s="564">
        <f>館林!T21</f>
        <v>5.3</v>
      </c>
      <c r="S5" s="564">
        <f>館林!U21</f>
        <v>0.98571428571428554</v>
      </c>
      <c r="T5" s="564">
        <f>館林!V21</f>
        <v>7.0428571428571427</v>
      </c>
      <c r="U5" s="564">
        <f>館林!W21</f>
        <v>89.285714285714292</v>
      </c>
      <c r="V5" s="564">
        <f>館林!X21</f>
        <v>0.115</v>
      </c>
      <c r="W5" s="564">
        <f>館林!Y21</f>
        <v>1.632857142857143</v>
      </c>
      <c r="X5" s="564">
        <f>館林!Z21</f>
        <v>3.6857142857142855</v>
      </c>
      <c r="Y5" s="564">
        <f>館林!AA21</f>
        <v>48.142857142857146</v>
      </c>
      <c r="Z5" s="564">
        <f>館林!AB21</f>
        <v>1.0171428571428571</v>
      </c>
      <c r="AA5" s="564">
        <f>館林!AC21</f>
        <v>1.0814285714285714</v>
      </c>
      <c r="AB5" s="564">
        <f>館林!AD21</f>
        <v>0.24142857142857146</v>
      </c>
      <c r="AC5" s="564">
        <f>館林!AE21</f>
        <v>0.64714285714285713</v>
      </c>
      <c r="AD5" s="564" t="e">
        <f>館林!AF21</f>
        <v>#DIV/0!</v>
      </c>
      <c r="AE5" s="564">
        <f>館林!AG21</f>
        <v>2.6642857142857142E-2</v>
      </c>
      <c r="AF5" s="564">
        <f>館林!AH21</f>
        <v>7.6</v>
      </c>
      <c r="AG5" s="564">
        <f>館林!AI21</f>
        <v>0.10685714285714286</v>
      </c>
      <c r="AH5" s="564">
        <f>館林!AJ21</f>
        <v>0.13800000000000001</v>
      </c>
      <c r="AI5" s="564">
        <f>館林!AK21</f>
        <v>4.2571428571428569E-3</v>
      </c>
      <c r="AJ5" s="564">
        <f>館林!AL21</f>
        <v>1.1499999999999998E-2</v>
      </c>
      <c r="AK5" s="564">
        <f>館林!AM21</f>
        <v>0.188</v>
      </c>
      <c r="AL5" s="564">
        <f>館林!AN21</f>
        <v>1.2499999999999999E-2</v>
      </c>
      <c r="AM5" s="564">
        <f>館林!AO21</f>
        <v>0.01</v>
      </c>
      <c r="AN5" s="564">
        <f>館林!AP21</f>
        <v>5.3571428571428568</v>
      </c>
      <c r="AO5" s="564" t="e">
        <f>館林!AQ21</f>
        <v>#DIV/0!</v>
      </c>
      <c r="AP5" s="565">
        <f>館林!AR21</f>
        <v>0.36857142857142861</v>
      </c>
      <c r="AQ5" s="564">
        <f>館林!AS21</f>
        <v>1.5142857142857142</v>
      </c>
      <c r="AR5" s="564">
        <f>館林!AT21</f>
        <v>1.0971428571428572</v>
      </c>
      <c r="AS5" s="564">
        <f>館林!AU21</f>
        <v>0.72428571428571431</v>
      </c>
      <c r="AT5" s="564">
        <f>館林!AV21</f>
        <v>1.4714285714285715</v>
      </c>
      <c r="AU5" s="564">
        <f>館林!AW21</f>
        <v>2.1857142857142859</v>
      </c>
      <c r="AV5" s="564">
        <f>館林!AX21</f>
        <v>1.03</v>
      </c>
      <c r="AW5" s="564">
        <f>館林!AY21</f>
        <v>0.10714285714285714</v>
      </c>
      <c r="AX5" s="565">
        <f>館林!AZ21</f>
        <v>5.2</v>
      </c>
      <c r="AY5" s="564">
        <f>館林!BA21</f>
        <v>1.842857142857143</v>
      </c>
      <c r="AZ5" s="567">
        <f>館林!BB21</f>
        <v>3.4714285714285715</v>
      </c>
      <c r="BA5" s="565">
        <f t="shared" si="1"/>
        <v>5.1757142857142853</v>
      </c>
      <c r="BB5" s="586">
        <f t="shared" si="2"/>
        <v>1.8514285714285719</v>
      </c>
      <c r="BC5" s="586">
        <f t="shared" si="3"/>
        <v>6.6432142857142864</v>
      </c>
      <c r="BD5" s="610">
        <f t="shared" si="4"/>
        <v>2.2535211267605634E-4</v>
      </c>
      <c r="BE5" s="610">
        <f t="shared" si="5"/>
        <v>1.8732718894009218E-3</v>
      </c>
      <c r="BF5" s="610">
        <f t="shared" si="6"/>
        <v>0.14672619047619048</v>
      </c>
      <c r="BG5" s="610">
        <f t="shared" si="7"/>
        <v>3.9503105590062114E-3</v>
      </c>
      <c r="BH5" s="610">
        <f t="shared" si="8"/>
        <v>0.13492063492063491</v>
      </c>
      <c r="BI5" s="610">
        <f t="shared" si="9"/>
        <v>2.3003663003663003E-3</v>
      </c>
      <c r="BJ5" s="610">
        <f t="shared" si="10"/>
        <v>1.2639623750734864E-3</v>
      </c>
      <c r="BK5" s="610">
        <f t="shared" si="11"/>
        <v>2.5499999999999997E-3</v>
      </c>
      <c r="BL5" s="610">
        <f t="shared" si="12"/>
        <v>0.14882481447826745</v>
      </c>
      <c r="BM5" s="610">
        <f t="shared" si="13"/>
        <v>0.14498527415508092</v>
      </c>
      <c r="BN5" s="611">
        <f t="shared" si="0"/>
        <v>1.0264822779110632</v>
      </c>
      <c r="BP5" s="564">
        <f t="shared" si="16"/>
        <v>9.6839285714285719</v>
      </c>
      <c r="BQ5" s="564">
        <f t="shared" si="17"/>
        <v>0.14982428571428572</v>
      </c>
      <c r="BR5" s="564">
        <f t="shared" si="18"/>
        <v>0.22714285714285715</v>
      </c>
      <c r="BS5" s="564">
        <f t="shared" si="19"/>
        <v>8.32</v>
      </c>
      <c r="BT5" s="564">
        <f t="shared" si="20"/>
        <v>1.842857142857143</v>
      </c>
      <c r="BU5" s="564">
        <f t="shared" si="21"/>
        <v>0.44637142857142859</v>
      </c>
      <c r="BV5" s="564">
        <f t="shared" si="22"/>
        <v>0.11899999999999999</v>
      </c>
      <c r="BW5" s="564">
        <f t="shared" si="23"/>
        <v>0.12321428571428571</v>
      </c>
      <c r="BX5" s="564"/>
      <c r="BY5" s="564">
        <f t="shared" si="14"/>
        <v>20.91233857142857</v>
      </c>
      <c r="BZ5" s="610">
        <f t="shared" si="15"/>
        <v>0.88880613236187</v>
      </c>
      <c r="CB5" s="610">
        <f>館林!CD21</f>
        <v>0.73793489832600279</v>
      </c>
      <c r="CC5" s="610">
        <f>館林!CE21</f>
        <v>0.66507220854770799</v>
      </c>
      <c r="CD5" s="610">
        <f>館林!CF21</f>
        <v>0.71428571428571419</v>
      </c>
      <c r="CE5" s="610">
        <f>館林!CG21</f>
        <v>1.1371428571428572</v>
      </c>
      <c r="CG5" s="564">
        <v>48.359281437125752</v>
      </c>
    </row>
    <row r="6" spans="1:85" x14ac:dyDescent="0.2">
      <c r="A6" t="s">
        <v>100</v>
      </c>
      <c r="B6" s="567">
        <f>鴻巣!D21</f>
        <v>24.285714285714285</v>
      </c>
      <c r="C6" s="619">
        <f>鴻巣!E21</f>
        <v>2.2999999999999996E-2</v>
      </c>
      <c r="D6" s="564">
        <f>鴻巣!F21</f>
        <v>0.2382857142857143</v>
      </c>
      <c r="E6" s="564">
        <f>鴻巣!G21</f>
        <v>9.3142857142857149</v>
      </c>
      <c r="F6" s="610">
        <f>鴻巣!H21</f>
        <v>9.6428571428571419E-2</v>
      </c>
      <c r="G6" s="564">
        <f>鴻巣!I21</f>
        <v>3.4428571428571431</v>
      </c>
      <c r="H6" s="564">
        <f>鴻巣!J21</f>
        <v>0.17142857142857143</v>
      </c>
      <c r="I6" s="610">
        <f>鴻巣!K21</f>
        <v>9.9285714285714272E-3</v>
      </c>
      <c r="J6" s="564">
        <f>鴻巣!L21</f>
        <v>1.4700000000000001E-2</v>
      </c>
      <c r="K6" s="565">
        <f>鴻巣!M21</f>
        <v>96.428571428571431</v>
      </c>
      <c r="L6" s="564">
        <f>鴻巣!N21</f>
        <v>20.142857142857142</v>
      </c>
      <c r="M6" s="564" t="e">
        <f>鴻巣!O21</f>
        <v>#DIV/0!</v>
      </c>
      <c r="N6" s="564">
        <f>鴻巣!P21</f>
        <v>114.14285714285714</v>
      </c>
      <c r="O6" s="564">
        <f>鴻巣!Q21</f>
        <v>4.0642857142857149</v>
      </c>
      <c r="P6" s="564">
        <f>鴻巣!R21</f>
        <v>1.4500000000000001E-2</v>
      </c>
      <c r="Q6" s="564">
        <f>鴻巣!S21</f>
        <v>2.0714285714285716</v>
      </c>
      <c r="R6" s="564">
        <f>鴻巣!T21</f>
        <v>4.4857142857142858</v>
      </c>
      <c r="S6" s="564">
        <f>鴻巣!U21</f>
        <v>1.01</v>
      </c>
      <c r="T6" s="564">
        <f>鴻巣!V21</f>
        <v>4.3</v>
      </c>
      <c r="U6" s="564">
        <f>鴻巣!W21</f>
        <v>69.857142857142861</v>
      </c>
      <c r="V6" s="564">
        <f>鴻巣!X21</f>
        <v>5.5E-2</v>
      </c>
      <c r="W6" s="564">
        <f>鴻巣!Y21</f>
        <v>1.9571428571428571</v>
      </c>
      <c r="X6" s="564">
        <f>鴻巣!Z21</f>
        <v>5.8</v>
      </c>
      <c r="Y6" s="564">
        <f>鴻巣!AA21</f>
        <v>35.428571428571431</v>
      </c>
      <c r="Z6" s="564">
        <f>鴻巣!AB21</f>
        <v>0.79</v>
      </c>
      <c r="AA6" s="564">
        <f>鴻巣!AC21</f>
        <v>1.05</v>
      </c>
      <c r="AB6" s="564">
        <f>鴻巣!AD21</f>
        <v>0.62</v>
      </c>
      <c r="AC6" s="564">
        <f>鴻巣!AE21</f>
        <v>1.4600000000000002</v>
      </c>
      <c r="AD6" s="564">
        <f>鴻巣!AF21</f>
        <v>1.6642857142857141</v>
      </c>
      <c r="AE6" s="564">
        <f>鴻巣!AG21</f>
        <v>3.95E-2</v>
      </c>
      <c r="AF6" s="564">
        <f>鴻巣!AH21</f>
        <v>6.1071428571428568</v>
      </c>
      <c r="AG6" s="564">
        <f>鴻巣!AI21</f>
        <v>7.9714285714285724E-2</v>
      </c>
      <c r="AH6" s="564">
        <f>鴻巣!AJ21</f>
        <v>9.5285714285714293E-2</v>
      </c>
      <c r="AI6" s="564">
        <f>鴻巣!AK21</f>
        <v>1.7500000000000002E-2</v>
      </c>
      <c r="AJ6" s="564">
        <f>鴻巣!AL21</f>
        <v>0.01</v>
      </c>
      <c r="AK6" s="564">
        <f>鴻巣!AM21</f>
        <v>0.22457142857142856</v>
      </c>
      <c r="AL6" s="564">
        <f>鴻巣!AN21</f>
        <v>1.4E-2</v>
      </c>
      <c r="AM6" s="564">
        <f>鴻巣!AO21</f>
        <v>3.95E-2</v>
      </c>
      <c r="AN6" s="564">
        <f>鴻巣!AP21</f>
        <v>8.5285714285714285</v>
      </c>
      <c r="AO6" s="564" t="e">
        <f>鴻巣!AQ21</f>
        <v>#DIV/0!</v>
      </c>
      <c r="AP6" s="565">
        <f>鴻巣!AR21</f>
        <v>4.7142857142857146E-2</v>
      </c>
      <c r="AQ6" s="564">
        <f>鴻巣!AS21</f>
        <v>1.6428571428571428</v>
      </c>
      <c r="AR6" s="564">
        <f>鴻巣!AT21</f>
        <v>0.98714285714285721</v>
      </c>
      <c r="AS6" s="564">
        <f>鴻巣!AU21</f>
        <v>0.71571428571428564</v>
      </c>
      <c r="AT6" s="564">
        <f>鴻巣!AV21</f>
        <v>1.2142857142857142</v>
      </c>
      <c r="AU6" s="564">
        <f>鴻巣!AW21</f>
        <v>1.8571428571428572</v>
      </c>
      <c r="AV6" s="564">
        <f>鴻巣!AX21</f>
        <v>0.86571428571428577</v>
      </c>
      <c r="AW6" s="564">
        <f>鴻巣!AY21</f>
        <v>5.8571428571428573E-2</v>
      </c>
      <c r="AX6" s="565">
        <f>鴻巣!AZ21</f>
        <v>4.6142857142857139</v>
      </c>
      <c r="AY6" s="564">
        <f>鴻巣!BA21</f>
        <v>1.5857142857142856</v>
      </c>
      <c r="AZ6" s="567" t="e">
        <f>鴻巣!BB21</f>
        <v>#DIV/0!</v>
      </c>
      <c r="BA6" s="565">
        <f t="shared" si="1"/>
        <v>4.6071428571428568</v>
      </c>
      <c r="BB6" s="586">
        <f t="shared" si="2"/>
        <v>1.5671428571428574</v>
      </c>
      <c r="BC6" s="586">
        <f t="shared" si="3"/>
        <v>4.7748000000000026</v>
      </c>
      <c r="BD6" s="610">
        <f t="shared" si="4"/>
        <v>6.4788732394366181E-4</v>
      </c>
      <c r="BE6" s="610">
        <f t="shared" si="5"/>
        <v>3.8433179723502305E-3</v>
      </c>
      <c r="BF6" s="610">
        <f t="shared" si="6"/>
        <v>0.19404761904761905</v>
      </c>
      <c r="BG6" s="610">
        <f t="shared" si="7"/>
        <v>4.1925465838509313E-3</v>
      </c>
      <c r="BH6" s="610">
        <f t="shared" si="8"/>
        <v>0.19126984126984128</v>
      </c>
      <c r="BI6" s="610">
        <f t="shared" si="9"/>
        <v>4.3956043956043956E-3</v>
      </c>
      <c r="BJ6" s="610">
        <f t="shared" si="10"/>
        <v>8.1716637272192811E-4</v>
      </c>
      <c r="BK6" s="610">
        <f t="shared" si="11"/>
        <v>7.3500000000000008E-4</v>
      </c>
      <c r="BL6" s="610">
        <f t="shared" si="12"/>
        <v>0.19853882434391296</v>
      </c>
      <c r="BM6" s="610">
        <f t="shared" si="13"/>
        <v>0.20141015862201855</v>
      </c>
      <c r="BN6" s="611">
        <f t="shared" si="0"/>
        <v>0.9857438458032588</v>
      </c>
      <c r="BP6" s="564">
        <f t="shared" si="16"/>
        <v>12.807142857142859</v>
      </c>
      <c r="BQ6" s="564">
        <f t="shared" si="17"/>
        <v>0.30738857142857146</v>
      </c>
      <c r="BR6" s="564">
        <f t="shared" si="18"/>
        <v>0.24107142857142855</v>
      </c>
      <c r="BS6" s="564">
        <f t="shared" si="19"/>
        <v>7.3828571428571426</v>
      </c>
      <c r="BT6" s="564">
        <f t="shared" si="20"/>
        <v>1.5857142857142856</v>
      </c>
      <c r="BU6" s="564">
        <f t="shared" si="21"/>
        <v>0.18511285714285713</v>
      </c>
      <c r="BV6" s="564">
        <f t="shared" si="22"/>
        <v>5.6900000000000006E-3</v>
      </c>
      <c r="BW6" s="564">
        <f t="shared" si="23"/>
        <v>9.6402857142857151E-2</v>
      </c>
      <c r="BX6" s="564">
        <f t="shared" ref="BX6:BX25" si="24">Q6/1000*1.67</f>
        <v>3.4592857142857147E-3</v>
      </c>
      <c r="BY6" s="564">
        <f t="shared" si="14"/>
        <v>22.614839285714289</v>
      </c>
      <c r="BZ6" s="610">
        <f t="shared" si="15"/>
        <v>0.93119926470588255</v>
      </c>
      <c r="CB6" s="610">
        <f>鴻巣!CD21</f>
        <v>0.7428197425726546</v>
      </c>
      <c r="CC6" s="610"/>
      <c r="CD6" s="610">
        <f>鴻巣!CF21</f>
        <v>0.6428571428571429</v>
      </c>
      <c r="CE6" s="610">
        <f>鴻巣!CG21</f>
        <v>0.92428571428571438</v>
      </c>
      <c r="CG6" s="564">
        <v>48.463855421686745</v>
      </c>
    </row>
    <row r="7" spans="1:85" x14ac:dyDescent="0.2">
      <c r="A7" t="s">
        <v>213</v>
      </c>
      <c r="B7" s="567">
        <f>幸手!D21</f>
        <v>24</v>
      </c>
      <c r="C7" s="619">
        <f>幸手!E21</f>
        <v>2.2999999999999996E-2</v>
      </c>
      <c r="D7" s="564">
        <f>幸手!F21</f>
        <v>0.193</v>
      </c>
      <c r="E7" s="564">
        <f>幸手!G21</f>
        <v>9.2428571428571438</v>
      </c>
      <c r="F7" s="610">
        <f>幸手!H21</f>
        <v>0.11099999999999999</v>
      </c>
      <c r="G7" s="564">
        <f>幸手!I21</f>
        <v>3.4142857142857141</v>
      </c>
      <c r="H7" s="564">
        <f>幸手!J21</f>
        <v>0.18557142857142858</v>
      </c>
      <c r="I7" s="610">
        <f>幸手!K21</f>
        <v>9.7428571428571416E-3</v>
      </c>
      <c r="J7" s="564">
        <f>幸手!L21</f>
        <v>1.7714285714285717E-2</v>
      </c>
      <c r="K7" s="565">
        <f>幸手!M21</f>
        <v>89.714285714285708</v>
      </c>
      <c r="L7" s="564">
        <f>幸手!N21</f>
        <v>22.75</v>
      </c>
      <c r="M7" s="564" t="e">
        <f>幸手!O21</f>
        <v>#DIV/0!</v>
      </c>
      <c r="N7" s="564">
        <f>幸手!P21</f>
        <v>123.14285714285714</v>
      </c>
      <c r="O7" s="564">
        <f>幸手!Q21</f>
        <v>7.8642857142857139</v>
      </c>
      <c r="P7" s="564">
        <f>幸手!R21</f>
        <v>1.4500000000000001E-2</v>
      </c>
      <c r="Q7" s="564">
        <f>幸手!S21</f>
        <v>2.7785714285714285</v>
      </c>
      <c r="R7" s="564">
        <f>幸手!T21</f>
        <v>6.8571428571428568</v>
      </c>
      <c r="S7" s="564">
        <f>幸手!U21</f>
        <v>1.2528571428571429</v>
      </c>
      <c r="T7" s="564">
        <f>幸手!V21</f>
        <v>4.2714285714285714</v>
      </c>
      <c r="U7" s="564">
        <f>幸手!W21</f>
        <v>73</v>
      </c>
      <c r="V7" s="564">
        <f>幸手!X21</f>
        <v>6.4285714285714293E-2</v>
      </c>
      <c r="W7" s="564">
        <f>幸手!Y21</f>
        <v>2.5857142857142859</v>
      </c>
      <c r="X7" s="564">
        <f>幸手!Z21</f>
        <v>9.8142857142857149</v>
      </c>
      <c r="Y7" s="564">
        <f>幸手!AA21</f>
        <v>41.714285714285715</v>
      </c>
      <c r="Z7" s="564">
        <f>幸手!AB21</f>
        <v>0.51857142857142857</v>
      </c>
      <c r="AA7" s="564">
        <f>幸手!AC21</f>
        <v>0.69285714285714295</v>
      </c>
      <c r="AB7" s="564">
        <f>幸手!AD21</f>
        <v>0.56571428571428573</v>
      </c>
      <c r="AC7" s="564">
        <f>幸手!AE21</f>
        <v>0.86571428571428566</v>
      </c>
      <c r="AD7" s="564">
        <f>幸手!AF21</f>
        <v>0.89</v>
      </c>
      <c r="AE7" s="564">
        <f>幸手!AG21</f>
        <v>3.95E-2</v>
      </c>
      <c r="AF7" s="564">
        <f>幸手!AH21</f>
        <v>6.4071428571428575</v>
      </c>
      <c r="AG7" s="564">
        <f>幸手!AI21</f>
        <v>8.0142857142857141E-2</v>
      </c>
      <c r="AH7" s="564">
        <f>幸手!AJ21</f>
        <v>7.8142857142857139E-2</v>
      </c>
      <c r="AI7" s="564">
        <f>幸手!AK21</f>
        <v>1.7500000000000002E-2</v>
      </c>
      <c r="AJ7" s="564">
        <f>幸手!AL21</f>
        <v>0.01</v>
      </c>
      <c r="AK7" s="564">
        <f>幸手!AM21</f>
        <v>1.0871428571428572</v>
      </c>
      <c r="AL7" s="564">
        <f>幸手!AN21</f>
        <v>1.7571428571428571E-2</v>
      </c>
      <c r="AM7" s="564">
        <f>幸手!AO21</f>
        <v>3.95E-2</v>
      </c>
      <c r="AN7" s="564">
        <f>幸手!AP21</f>
        <v>11.985714285714286</v>
      </c>
      <c r="AO7" s="564" t="e">
        <f>幸手!AQ21</f>
        <v>#DIV/0!</v>
      </c>
      <c r="AP7" s="565">
        <f>幸手!AR21</f>
        <v>1.3714285714285715E-2</v>
      </c>
      <c r="AQ7" s="564">
        <f>幸手!AS21</f>
        <v>1.3714285714285714</v>
      </c>
      <c r="AR7" s="564">
        <f>幸手!AT21</f>
        <v>0.87857142857142867</v>
      </c>
      <c r="AS7" s="564">
        <f>幸手!AU21</f>
        <v>0.63428571428571434</v>
      </c>
      <c r="AT7" s="564">
        <f>幸手!AV21</f>
        <v>1.0957142857142856</v>
      </c>
      <c r="AU7" s="564">
        <f>幸手!AW21</f>
        <v>1.8571428571428572</v>
      </c>
      <c r="AV7" s="564">
        <f>幸手!AX21</f>
        <v>0.84571428571428586</v>
      </c>
      <c r="AW7" s="564">
        <f>幸手!AY21</f>
        <v>4.2142857142857142E-2</v>
      </c>
      <c r="AX7" s="565">
        <f>幸手!AZ21</f>
        <v>3.9999999999999996</v>
      </c>
      <c r="AY7" s="564">
        <f>幸手!BA21</f>
        <v>1.657142857142857</v>
      </c>
      <c r="AZ7" s="567" t="e">
        <f>幸手!BB21</f>
        <v>#DIV/0!</v>
      </c>
      <c r="BA7" s="565">
        <f t="shared" si="1"/>
        <v>3.9937142857142858</v>
      </c>
      <c r="BB7" s="586">
        <f t="shared" si="2"/>
        <v>1.6492857142857145</v>
      </c>
      <c r="BC7" s="586">
        <f t="shared" si="3"/>
        <v>5.1456857142857118</v>
      </c>
      <c r="BD7" s="610">
        <f t="shared" si="4"/>
        <v>6.4788732394366181E-4</v>
      </c>
      <c r="BE7" s="610">
        <f t="shared" si="5"/>
        <v>3.1129032258064519E-3</v>
      </c>
      <c r="BF7" s="610">
        <f t="shared" si="6"/>
        <v>0.19255952380952382</v>
      </c>
      <c r="BG7" s="610">
        <f t="shared" si="7"/>
        <v>4.8260869565217388E-3</v>
      </c>
      <c r="BH7" s="610">
        <f t="shared" si="8"/>
        <v>0.18968253968253967</v>
      </c>
      <c r="BI7" s="610">
        <f t="shared" si="9"/>
        <v>4.7582417582417583E-3</v>
      </c>
      <c r="BJ7" s="610">
        <f t="shared" si="10"/>
        <v>8.018812463256907E-4</v>
      </c>
      <c r="BK7" s="610">
        <f t="shared" si="11"/>
        <v>8.857142857142859E-4</v>
      </c>
      <c r="BL7" s="610">
        <f t="shared" si="12"/>
        <v>0.19632031435927394</v>
      </c>
      <c r="BM7" s="610">
        <f t="shared" si="13"/>
        <v>0.20095446392934316</v>
      </c>
      <c r="BN7" s="611">
        <f t="shared" si="0"/>
        <v>0.97693930515672145</v>
      </c>
      <c r="BP7" s="564">
        <f t="shared" si="16"/>
        <v>12.708928571428572</v>
      </c>
      <c r="BQ7" s="564">
        <f t="shared" si="17"/>
        <v>0.24897000000000002</v>
      </c>
      <c r="BR7" s="564">
        <f t="shared" si="18"/>
        <v>0.27749999999999997</v>
      </c>
      <c r="BS7" s="564">
        <f t="shared" si="19"/>
        <v>6.3999999999999995</v>
      </c>
      <c r="BT7" s="564">
        <f t="shared" si="20"/>
        <v>1.657142857142857</v>
      </c>
      <c r="BU7" s="564">
        <f t="shared" si="21"/>
        <v>0.20907249999999999</v>
      </c>
      <c r="BV7" s="564">
        <f t="shared" si="22"/>
        <v>1.1009999999999999E-2</v>
      </c>
      <c r="BW7" s="564">
        <f t="shared" si="23"/>
        <v>0.10073999999999998</v>
      </c>
      <c r="BX7" s="564">
        <f t="shared" si="24"/>
        <v>4.6402142857142848E-3</v>
      </c>
      <c r="BY7" s="564">
        <f t="shared" si="14"/>
        <v>21.618004142857142</v>
      </c>
      <c r="BZ7" s="610">
        <f t="shared" si="15"/>
        <v>0.90075017261904755</v>
      </c>
      <c r="CB7" s="610">
        <f>幸手!CD21</f>
        <v>0.70712954697904196</v>
      </c>
      <c r="CC7" s="610"/>
      <c r="CD7" s="610">
        <f>幸手!CF21</f>
        <v>0.76142857142857134</v>
      </c>
      <c r="CE7" s="610">
        <f>幸手!CG21</f>
        <v>0.88785714285714279</v>
      </c>
      <c r="CG7" s="564">
        <v>42.542168674698793</v>
      </c>
    </row>
    <row r="8" spans="1:85" x14ac:dyDescent="0.2">
      <c r="A8" t="s">
        <v>595</v>
      </c>
      <c r="B8" s="567">
        <f>さいたま!D21</f>
        <v>25.528571428571432</v>
      </c>
      <c r="C8" s="619">
        <f>さいたま!E21</f>
        <v>2.1899999999999996E-2</v>
      </c>
      <c r="D8" s="564">
        <f>さいたま!F21</f>
        <v>0.35285714285714287</v>
      </c>
      <c r="E8" s="564">
        <f>さいたま!G21</f>
        <v>8.6571428571428566</v>
      </c>
      <c r="F8" s="610">
        <f>さいたま!H21</f>
        <v>0.13057142857142856</v>
      </c>
      <c r="G8" s="564">
        <f>さいたま!I21</f>
        <v>3.0714285714285707</v>
      </c>
      <c r="H8" s="564">
        <f>さいたま!J21</f>
        <v>0.16300000000000001</v>
      </c>
      <c r="I8" s="610">
        <f>さいたま!K21</f>
        <v>2.2999999999999996E-2</v>
      </c>
      <c r="J8" s="564">
        <f>さいたま!L21</f>
        <v>0.10771428571428572</v>
      </c>
      <c r="K8" s="565">
        <f>さいたま!M21</f>
        <v>151.42857142857142</v>
      </c>
      <c r="L8" s="564">
        <f>さいたま!N21</f>
        <v>116.42857142857143</v>
      </c>
      <c r="M8" s="564">
        <f>さいたま!O21</f>
        <v>176.85714285714286</v>
      </c>
      <c r="N8" s="564">
        <f>さいたま!P21</f>
        <v>184.28571428571428</v>
      </c>
      <c r="O8" s="564">
        <f>さいたま!Q21</f>
        <v>127.85714285714286</v>
      </c>
      <c r="P8" s="564">
        <f>さいたま!R21</f>
        <v>8.9999999999999983E-2</v>
      </c>
      <c r="Q8" s="564">
        <f>さいたま!S21</f>
        <v>11.828571428571427</v>
      </c>
      <c r="R8" s="564">
        <f>さいたま!T21</f>
        <v>8.1285714285714281</v>
      </c>
      <c r="S8" s="564">
        <f>さいたま!U21</f>
        <v>1.6857142857142857</v>
      </c>
      <c r="T8" s="564">
        <f>さいたま!V21</f>
        <v>6.9857142857142858</v>
      </c>
      <c r="U8" s="564">
        <f>さいたま!W21</f>
        <v>177.14285714285714</v>
      </c>
      <c r="V8" s="564">
        <f>さいたま!X21</f>
        <v>9.114285714285715E-2</v>
      </c>
      <c r="W8" s="564">
        <f>さいたま!Y21</f>
        <v>3.0285714285714285</v>
      </c>
      <c r="X8" s="564">
        <f>さいたま!Z21</f>
        <v>7.3285714285714283</v>
      </c>
      <c r="Y8" s="564">
        <f>さいたま!AA21</f>
        <v>39</v>
      </c>
      <c r="Z8" s="564">
        <f>さいたま!AB21</f>
        <v>1.0699999999999998</v>
      </c>
      <c r="AA8" s="564">
        <f>さいたま!AC21</f>
        <v>1.3499999999999999</v>
      </c>
      <c r="AB8" s="564">
        <f>さいたま!AD21</f>
        <v>0.25999999999999995</v>
      </c>
      <c r="AC8" s="564">
        <f>さいたま!AE21</f>
        <v>1.0428571428571427</v>
      </c>
      <c r="AD8" s="564">
        <f>さいたま!AF21</f>
        <v>1.7342857142857144</v>
      </c>
      <c r="AE8" s="564">
        <f>さいたま!AG21</f>
        <v>3.7428571428571422E-2</v>
      </c>
      <c r="AF8" s="564">
        <f>さいたま!AH21</f>
        <v>11.771428571428572</v>
      </c>
      <c r="AG8" s="564">
        <f>さいたま!AI21</f>
        <v>0.19285714285714284</v>
      </c>
      <c r="AH8" s="564">
        <f>さいたま!AJ21</f>
        <v>0.2385714285714286</v>
      </c>
      <c r="AI8" s="564">
        <f>さいたま!AK21</f>
        <v>6.4999999999999997E-3</v>
      </c>
      <c r="AJ8" s="564">
        <f>さいたま!AL21</f>
        <v>9.3857142857142872E-3</v>
      </c>
      <c r="AK8" s="564">
        <f>さいたま!AM21</f>
        <v>0.28714285714285709</v>
      </c>
      <c r="AL8" s="564">
        <f>さいたま!AN21</f>
        <v>1.7428571428571428E-3</v>
      </c>
      <c r="AM8" s="564">
        <f>さいたま!AO21</f>
        <v>5.3714285714285713E-3</v>
      </c>
      <c r="AN8" s="564">
        <f>さいたま!AP21</f>
        <v>7.5571428571428569</v>
      </c>
      <c r="AO8" s="564">
        <f>さいたま!AQ21</f>
        <v>0.19999999999999998</v>
      </c>
      <c r="AP8" s="565">
        <f>さいたま!AR21</f>
        <v>8.3428571428571435E-2</v>
      </c>
      <c r="AQ8" s="564">
        <f>さいたま!AS21</f>
        <v>1.8142857142857143</v>
      </c>
      <c r="AR8" s="564">
        <f>さいたま!AT21</f>
        <v>0.88142857142857145</v>
      </c>
      <c r="AS8" s="564">
        <f>さいたま!AU21</f>
        <v>0.66142857142857159</v>
      </c>
      <c r="AT8" s="564">
        <f>さいたま!AV21</f>
        <v>1.4571428571428573</v>
      </c>
      <c r="AU8" s="564">
        <f>さいたま!AW21</f>
        <v>1.8714285714285717</v>
      </c>
      <c r="AV8" s="564">
        <f>さいたま!AX21</f>
        <v>1.1042857142857143</v>
      </c>
      <c r="AW8" s="564">
        <f>さいたま!AY21</f>
        <v>9.5571428571428571E-2</v>
      </c>
      <c r="AX8" s="565">
        <f>さいたま!AZ21</f>
        <v>4.8999999999999995</v>
      </c>
      <c r="AY8" s="564">
        <f>さいたま!BA21</f>
        <v>1.5999999999999999</v>
      </c>
      <c r="AZ8" s="567" t="e">
        <f>さいたま!BB21</f>
        <v>#DIV/0!</v>
      </c>
      <c r="BA8" s="565">
        <f t="shared" si="1"/>
        <v>4.8977142857142866</v>
      </c>
      <c r="BB8" s="586">
        <f t="shared" si="2"/>
        <v>1.6141428571428573</v>
      </c>
      <c r="BC8" s="586">
        <f t="shared" si="3"/>
        <v>6.5009571428571462</v>
      </c>
      <c r="BD8" s="610">
        <f t="shared" si="4"/>
        <v>6.1690140845070413E-4</v>
      </c>
      <c r="BE8" s="610">
        <f t="shared" si="5"/>
        <v>5.6912442396313363E-3</v>
      </c>
      <c r="BF8" s="610">
        <f t="shared" si="6"/>
        <v>0.18035714285714285</v>
      </c>
      <c r="BG8" s="610">
        <f t="shared" si="7"/>
        <v>5.6770186335403719E-3</v>
      </c>
      <c r="BH8" s="610">
        <f t="shared" si="8"/>
        <v>0.17063492063492058</v>
      </c>
      <c r="BI8" s="610">
        <f t="shared" si="9"/>
        <v>4.1794871794871794E-3</v>
      </c>
      <c r="BJ8" s="610">
        <f t="shared" si="10"/>
        <v>1.8930041152263371E-3</v>
      </c>
      <c r="BK8" s="610">
        <f t="shared" si="11"/>
        <v>5.3857142857142862E-3</v>
      </c>
      <c r="BL8" s="610">
        <f t="shared" si="12"/>
        <v>0.1866652885052249</v>
      </c>
      <c r="BM8" s="610">
        <f t="shared" si="13"/>
        <v>0.18777014484888876</v>
      </c>
      <c r="BN8" s="611">
        <f t="shared" si="0"/>
        <v>0.9941159104683388</v>
      </c>
      <c r="BP8" s="564">
        <f t="shared" si="16"/>
        <v>11.903571428571428</v>
      </c>
      <c r="BQ8" s="564">
        <f t="shared" si="17"/>
        <v>0.4551857142857143</v>
      </c>
      <c r="BR8" s="564">
        <f t="shared" si="18"/>
        <v>0.3264285714285714</v>
      </c>
      <c r="BS8" s="564">
        <f t="shared" si="19"/>
        <v>7.84</v>
      </c>
      <c r="BT8" s="564">
        <f t="shared" si="20"/>
        <v>1.5999999999999999</v>
      </c>
      <c r="BU8" s="564">
        <f t="shared" si="21"/>
        <v>1.0699785714285714</v>
      </c>
      <c r="BV8" s="564">
        <f t="shared" si="22"/>
        <v>0.17899999999999999</v>
      </c>
      <c r="BW8" s="564">
        <f t="shared" si="23"/>
        <v>0.24445714285714282</v>
      </c>
      <c r="BX8" s="564">
        <f t="shared" si="24"/>
        <v>1.9753714285714284E-2</v>
      </c>
      <c r="BY8" s="564">
        <f t="shared" si="14"/>
        <v>23.638375142857143</v>
      </c>
      <c r="BZ8" s="610">
        <f t="shared" si="15"/>
        <v>0.92595761611639604</v>
      </c>
      <c r="CB8" s="610">
        <f>さいたま!CD21</f>
        <v>0.75222223189237458</v>
      </c>
      <c r="CC8" s="610"/>
      <c r="CD8" s="610">
        <f>さいたま!CF21</f>
        <v>0.41428571428571426</v>
      </c>
      <c r="CE8" s="610">
        <f>さいたま!CG21</f>
        <v>1.199857142857143</v>
      </c>
      <c r="CG8" s="564">
        <v>44.291666666666664</v>
      </c>
    </row>
    <row r="9" spans="1:85" x14ac:dyDescent="0.2">
      <c r="A9" t="s">
        <v>525</v>
      </c>
      <c r="B9" s="567">
        <f>市原!D21</f>
        <v>26.228571428571431</v>
      </c>
      <c r="C9" s="619">
        <f>市原!E21</f>
        <v>4.7999999999999994E-2</v>
      </c>
      <c r="D9" s="564">
        <f>市原!F21</f>
        <v>6.3857142857142848E-2</v>
      </c>
      <c r="E9" s="564">
        <f>市原!G21</f>
        <v>10.714285714285714</v>
      </c>
      <c r="F9" s="610">
        <f>市原!H21</f>
        <v>0.14514285714285716</v>
      </c>
      <c r="G9" s="564">
        <f>市原!I21</f>
        <v>3.8571428571428572</v>
      </c>
      <c r="H9" s="564">
        <f>市原!J21</f>
        <v>0.12071428571428573</v>
      </c>
      <c r="I9" s="610">
        <f>市原!K21</f>
        <v>1.8142857142857145E-2</v>
      </c>
      <c r="J9" s="564">
        <f>市原!L21</f>
        <v>0.10414285714285712</v>
      </c>
      <c r="K9" s="565">
        <f>市原!M21</f>
        <v>202.85714285714286</v>
      </c>
      <c r="L9" s="564">
        <f>市原!N21</f>
        <v>56.98571428571428</v>
      </c>
      <c r="M9" s="564">
        <f>市原!O21</f>
        <v>142.42857142857142</v>
      </c>
      <c r="N9" s="564">
        <f>市原!P21</f>
        <v>158.14285714285714</v>
      </c>
      <c r="O9" s="564">
        <f>市原!Q21</f>
        <v>145</v>
      </c>
      <c r="P9" s="564">
        <f>市原!R21</f>
        <v>4.9999999999999996E-2</v>
      </c>
      <c r="Q9" s="564">
        <f>市原!S21</f>
        <v>9.7428571428571438</v>
      </c>
      <c r="R9" s="564">
        <f>市原!T21</f>
        <v>15.1</v>
      </c>
      <c r="S9" s="564">
        <f>市原!U21</f>
        <v>2.3571428571428572</v>
      </c>
      <c r="T9" s="564">
        <f>市原!V21</f>
        <v>9.2571428571428562</v>
      </c>
      <c r="U9" s="564">
        <f>市原!W21</f>
        <v>282.85714285714283</v>
      </c>
      <c r="V9" s="564">
        <f>市原!X21</f>
        <v>0.156</v>
      </c>
      <c r="W9" s="564">
        <f>市原!Y21</f>
        <v>4.7857142857142856</v>
      </c>
      <c r="X9" s="564">
        <f>市原!Z21</f>
        <v>3.9142857142857141</v>
      </c>
      <c r="Y9" s="564">
        <f>市原!AA21</f>
        <v>67.857142857142861</v>
      </c>
      <c r="Z9" s="564">
        <f>市原!AB21</f>
        <v>1.0371428571428571</v>
      </c>
      <c r="AA9" s="564">
        <f>市原!AC21</f>
        <v>1.2157142857142857</v>
      </c>
      <c r="AB9" s="564">
        <f>市原!AD21</f>
        <v>0.39742857142857141</v>
      </c>
      <c r="AC9" s="564">
        <f>市原!AE21</f>
        <v>0.90714285714285714</v>
      </c>
      <c r="AD9" s="564">
        <f>市原!AF21</f>
        <v>0.9285714285714286</v>
      </c>
      <c r="AE9" s="564">
        <f>市原!AG21</f>
        <v>5.5285714285714278E-2</v>
      </c>
      <c r="AF9" s="564">
        <f>市原!AH21</f>
        <v>3.5428571428571423</v>
      </c>
      <c r="AG9" s="564">
        <f>市原!AI21</f>
        <v>0.20242857142857143</v>
      </c>
      <c r="AH9" s="564">
        <f>市原!AJ21</f>
        <v>0.19442857142857142</v>
      </c>
      <c r="AI9" s="564">
        <f>市原!AK21</f>
        <v>6.4999999999999997E-3</v>
      </c>
      <c r="AJ9" s="564">
        <f>市原!AL21</f>
        <v>0.08</v>
      </c>
      <c r="AK9" s="564">
        <f>市原!AM21</f>
        <v>0.55714285714285716</v>
      </c>
      <c r="AL9" s="564">
        <f>市原!AN21</f>
        <v>1.35E-2</v>
      </c>
      <c r="AM9" s="564">
        <f>市原!AO21</f>
        <v>6.2857142857142851E-3</v>
      </c>
      <c r="AN9" s="564">
        <f>市原!AP21</f>
        <v>7.9714285714285706</v>
      </c>
      <c r="AO9" s="564" t="e">
        <f>市原!AQ21</f>
        <v>#DIV/0!</v>
      </c>
      <c r="AP9" s="565">
        <f>市原!AR21</f>
        <v>0.02</v>
      </c>
      <c r="AQ9" s="564">
        <f>市原!AS21</f>
        <v>1.0257142857142856</v>
      </c>
      <c r="AR9" s="564">
        <f>市原!AT21</f>
        <v>0.75714285714285712</v>
      </c>
      <c r="AS9" s="564">
        <f>市原!AU21</f>
        <v>0.31428571428571433</v>
      </c>
      <c r="AT9" s="564">
        <f>市原!AV21</f>
        <v>1.2371428571428571</v>
      </c>
      <c r="AU9" s="564">
        <f>市原!AW21</f>
        <v>1.9571428571428573</v>
      </c>
      <c r="AV9" s="564">
        <f>市原!AX21</f>
        <v>0.74714285714285711</v>
      </c>
      <c r="AW9" s="564">
        <f>市原!AY21</f>
        <v>6.6285714285714281E-2</v>
      </c>
      <c r="AX9" s="565">
        <f>市原!AZ21</f>
        <v>3.342857142857143</v>
      </c>
      <c r="AY9" s="564">
        <f>市原!BA21</f>
        <v>1.5285714285714287</v>
      </c>
      <c r="AZ9" s="567">
        <f>市原!BB21</f>
        <v>2.3428571428571425</v>
      </c>
      <c r="BA9" s="565">
        <f t="shared" si="1"/>
        <v>3.3542857142857141</v>
      </c>
      <c r="BB9" s="586">
        <f t="shared" si="2"/>
        <v>1.5334285714285718</v>
      </c>
      <c r="BC9" s="586">
        <f t="shared" si="3"/>
        <v>6.2857142857142883</v>
      </c>
      <c r="BD9" s="610">
        <f t="shared" si="4"/>
        <v>1.3521126760563378E-3</v>
      </c>
      <c r="BE9" s="610">
        <f t="shared" si="5"/>
        <v>1.0299539170506911E-3</v>
      </c>
      <c r="BF9" s="610">
        <f t="shared" si="6"/>
        <v>0.2232142857142857</v>
      </c>
      <c r="BG9" s="610">
        <f t="shared" si="7"/>
        <v>6.3105590062111803E-3</v>
      </c>
      <c r="BH9" s="610">
        <f t="shared" si="8"/>
        <v>0.2142857142857143</v>
      </c>
      <c r="BI9" s="610">
        <f t="shared" si="9"/>
        <v>3.0952380952380958E-3</v>
      </c>
      <c r="BJ9" s="610">
        <f t="shared" si="10"/>
        <v>1.4932392710170488E-3</v>
      </c>
      <c r="BK9" s="610">
        <f t="shared" si="11"/>
        <v>5.2071428571428564E-3</v>
      </c>
      <c r="BL9" s="610">
        <f t="shared" si="12"/>
        <v>0.22559635230739272</v>
      </c>
      <c r="BM9" s="610">
        <f t="shared" si="13"/>
        <v>0.23039189351532349</v>
      </c>
      <c r="BN9" s="611">
        <f t="shared" si="0"/>
        <v>0.97918528670970006</v>
      </c>
      <c r="BP9" s="564">
        <f t="shared" si="16"/>
        <v>14.732142857142856</v>
      </c>
      <c r="BQ9" s="564">
        <f t="shared" si="17"/>
        <v>8.2375714285714274E-2</v>
      </c>
      <c r="BR9" s="564">
        <f t="shared" si="18"/>
        <v>0.36285714285714288</v>
      </c>
      <c r="BS9" s="564">
        <f t="shared" si="19"/>
        <v>5.3485714285714288</v>
      </c>
      <c r="BT9" s="564">
        <f t="shared" si="20"/>
        <v>1.5285714285714287</v>
      </c>
      <c r="BU9" s="564">
        <f t="shared" si="21"/>
        <v>0.52369871428571424</v>
      </c>
      <c r="BV9" s="564">
        <f t="shared" si="22"/>
        <v>0.20299999999999999</v>
      </c>
      <c r="BW9" s="564">
        <f t="shared" si="23"/>
        <v>0.39034285714285705</v>
      </c>
      <c r="BX9" s="564">
        <f t="shared" si="24"/>
        <v>1.6270571428571429E-2</v>
      </c>
      <c r="BY9" s="564">
        <f t="shared" si="14"/>
        <v>23.187830714285713</v>
      </c>
      <c r="BZ9" s="610">
        <f t="shared" si="15"/>
        <v>0.88406761982570792</v>
      </c>
      <c r="CB9" s="610">
        <f>市原!CD21</f>
        <v>0.68919576949320771</v>
      </c>
      <c r="CC9" s="610">
        <f>市原!CE21</f>
        <v>0.70514561350484617</v>
      </c>
      <c r="CD9" s="610">
        <f>市原!CF21</f>
        <v>0.71999999999999986</v>
      </c>
      <c r="CE9" s="610">
        <f>市原!CG21</f>
        <v>0.81342857142857139</v>
      </c>
      <c r="CG9" s="564">
        <v>35.023952095808383</v>
      </c>
    </row>
    <row r="10" spans="1:85" x14ac:dyDescent="0.2">
      <c r="A10" t="s">
        <v>544</v>
      </c>
      <c r="B10" s="567">
        <f>勝浦!D21</f>
        <v>19.014285714285712</v>
      </c>
      <c r="C10" s="619">
        <f>勝浦!E21</f>
        <v>4.7999999999999994E-2</v>
      </c>
      <c r="D10" s="564">
        <f>勝浦!F21</f>
        <v>4.9499999999999995E-2</v>
      </c>
      <c r="E10" s="564">
        <f>勝浦!G21</f>
        <v>8.7285714285714295</v>
      </c>
      <c r="F10" s="610">
        <f>勝浦!H21</f>
        <v>0.11085714285714286</v>
      </c>
      <c r="G10" s="564">
        <f>勝浦!I21</f>
        <v>2.9428571428571426</v>
      </c>
      <c r="H10" s="564">
        <f>勝浦!J21</f>
        <v>6.9857142857142854E-2</v>
      </c>
      <c r="I10" s="610">
        <f>勝浦!K21</f>
        <v>9.5142857142857147E-3</v>
      </c>
      <c r="J10" s="564">
        <f>勝浦!L21</f>
        <v>2.1999999999999995E-2</v>
      </c>
      <c r="K10" s="565">
        <f>勝浦!M21</f>
        <v>114.28571428571429</v>
      </c>
      <c r="L10" s="564">
        <f>勝浦!N21</f>
        <v>11.285714285714286</v>
      </c>
      <c r="M10" s="564">
        <f>勝浦!O21</f>
        <v>36.74285714285714</v>
      </c>
      <c r="N10" s="564">
        <f>勝浦!P21</f>
        <v>90.857142857142861</v>
      </c>
      <c r="O10" s="564">
        <f>勝浦!Q21</f>
        <v>22.142857142857142</v>
      </c>
      <c r="P10" s="564">
        <f>勝浦!R21</f>
        <v>4.9999999999999996E-2</v>
      </c>
      <c r="Q10" s="564">
        <f>勝浦!S21</f>
        <v>3.105</v>
      </c>
      <c r="R10" s="564">
        <f>勝浦!T21</f>
        <v>12.228571428571428</v>
      </c>
      <c r="S10" s="564">
        <f>勝浦!U21</f>
        <v>0.62428571428571433</v>
      </c>
      <c r="T10" s="564">
        <f>勝浦!V21</f>
        <v>3.2285714285714286</v>
      </c>
      <c r="U10" s="564">
        <f>勝浦!W21</f>
        <v>48</v>
      </c>
      <c r="V10" s="564">
        <f>勝浦!X21</f>
        <v>3.4999999999999996E-2</v>
      </c>
      <c r="W10" s="564">
        <f>勝浦!Y21</f>
        <v>3.3428571428571425</v>
      </c>
      <c r="X10" s="564">
        <f>勝浦!Z21</f>
        <v>1.8857142857142857</v>
      </c>
      <c r="Y10" s="564">
        <f>勝浦!AA21</f>
        <v>18.62857142857143</v>
      </c>
      <c r="Z10" s="564">
        <f>勝浦!AB21</f>
        <v>0.81285714285714283</v>
      </c>
      <c r="AA10" s="564">
        <f>勝浦!AC21</f>
        <v>0.74</v>
      </c>
      <c r="AB10" s="564">
        <f>勝浦!AD21</f>
        <v>0.1812857142857143</v>
      </c>
      <c r="AC10" s="564">
        <f>勝浦!AE21</f>
        <v>0.32999999999999996</v>
      </c>
      <c r="AD10" s="564">
        <f>勝浦!AF21</f>
        <v>0.43785714285714289</v>
      </c>
      <c r="AE10" s="564">
        <f>勝浦!AG21</f>
        <v>2.2571428571428569E-2</v>
      </c>
      <c r="AF10" s="564">
        <f>勝浦!AH21</f>
        <v>1.2271428571428571</v>
      </c>
      <c r="AG10" s="564">
        <f>勝浦!AI21</f>
        <v>4.0057142857142854E-2</v>
      </c>
      <c r="AH10" s="564">
        <f>勝浦!AJ21</f>
        <v>3.5857142857142858E-2</v>
      </c>
      <c r="AI10" s="564">
        <f>勝浦!AK21</f>
        <v>6.4999999999999997E-3</v>
      </c>
      <c r="AJ10" s="564">
        <f>勝浦!AL21</f>
        <v>9.9999999999999992E-2</v>
      </c>
      <c r="AK10" s="564">
        <f>勝浦!AM21</f>
        <v>0.193</v>
      </c>
      <c r="AL10" s="564">
        <f>勝浦!AN21</f>
        <v>1.35E-2</v>
      </c>
      <c r="AM10" s="564">
        <f>勝浦!AO21</f>
        <v>5.0000000000000001E-3</v>
      </c>
      <c r="AN10" s="564">
        <f>勝浦!AP21</f>
        <v>4.8335714285714291</v>
      </c>
      <c r="AO10" s="564" t="e">
        <f>勝浦!AQ21</f>
        <v>#DIV/0!</v>
      </c>
      <c r="AP10" s="565">
        <f>勝浦!AR21</f>
        <v>0.02</v>
      </c>
      <c r="AQ10" s="564">
        <f>勝浦!AS21</f>
        <v>0.62571428571428567</v>
      </c>
      <c r="AR10" s="564">
        <f>勝浦!AT21</f>
        <v>0.45142857142857146</v>
      </c>
      <c r="AS10" s="564">
        <f>勝浦!AU21</f>
        <v>0.19428571428571426</v>
      </c>
      <c r="AT10" s="564">
        <f>勝浦!AV21</f>
        <v>0.63142857142857145</v>
      </c>
      <c r="AU10" s="564">
        <f>勝浦!AW21</f>
        <v>0.73142857142857143</v>
      </c>
      <c r="AV10" s="564">
        <f>勝浦!AX21</f>
        <v>0.50285714285714289</v>
      </c>
      <c r="AW10" s="564">
        <f>勝浦!AY21</f>
        <v>3.9285714285714292E-2</v>
      </c>
      <c r="AX10" s="565">
        <f>勝浦!AZ21</f>
        <v>1.9142857142857144</v>
      </c>
      <c r="AY10" s="564">
        <f>勝浦!BA21</f>
        <v>0.63714285714285712</v>
      </c>
      <c r="AZ10" s="567">
        <f>勝浦!BB21</f>
        <v>1.5571428571428569</v>
      </c>
      <c r="BA10" s="565">
        <f t="shared" si="1"/>
        <v>1.9228571428571428</v>
      </c>
      <c r="BB10" s="586">
        <f t="shared" si="2"/>
        <v>0.64214285714285735</v>
      </c>
      <c r="BC10" s="586">
        <f t="shared" si="3"/>
        <v>4.4816999999999965</v>
      </c>
      <c r="BD10" s="610">
        <f t="shared" si="4"/>
        <v>1.3521126760563378E-3</v>
      </c>
      <c r="BE10" s="610">
        <f t="shared" si="5"/>
        <v>7.9838709677419349E-4</v>
      </c>
      <c r="BF10" s="610">
        <f t="shared" si="6"/>
        <v>0.18184523809523812</v>
      </c>
      <c r="BG10" s="610">
        <f t="shared" si="7"/>
        <v>4.8198757763975161E-3</v>
      </c>
      <c r="BH10" s="610">
        <f t="shared" si="8"/>
        <v>0.16349206349206347</v>
      </c>
      <c r="BI10" s="610">
        <f t="shared" si="9"/>
        <v>1.7912087912087911E-3</v>
      </c>
      <c r="BJ10" s="610">
        <f t="shared" si="10"/>
        <v>7.8306878306878304E-4</v>
      </c>
      <c r="BK10" s="610">
        <f t="shared" si="11"/>
        <v>1.0999999999999998E-3</v>
      </c>
      <c r="BL10" s="610">
        <f t="shared" si="12"/>
        <v>0.18399573786806864</v>
      </c>
      <c r="BM10" s="610">
        <f t="shared" si="13"/>
        <v>0.17198621684273852</v>
      </c>
      <c r="BN10" s="611">
        <f t="shared" si="0"/>
        <v>1.069828392331645</v>
      </c>
      <c r="BP10" s="564">
        <f t="shared" si="16"/>
        <v>12.001785714285715</v>
      </c>
      <c r="BQ10" s="564">
        <f t="shared" si="17"/>
        <v>6.3854999999999995E-2</v>
      </c>
      <c r="BR10" s="564">
        <f t="shared" si="18"/>
        <v>0.27714285714285714</v>
      </c>
      <c r="BS10" s="564">
        <f t="shared" si="19"/>
        <v>3.0628571428571432</v>
      </c>
      <c r="BT10" s="564">
        <f t="shared" si="20"/>
        <v>0.63714285714285712</v>
      </c>
      <c r="BU10" s="564">
        <f t="shared" si="21"/>
        <v>0.1037157142857143</v>
      </c>
      <c r="BV10" s="564">
        <f t="shared" si="22"/>
        <v>3.0999999999999996E-2</v>
      </c>
      <c r="BW10" s="564">
        <f t="shared" si="23"/>
        <v>6.6239999999999993E-2</v>
      </c>
      <c r="BX10" s="564">
        <f t="shared" si="24"/>
        <v>5.18535E-3</v>
      </c>
      <c r="BY10" s="564">
        <f t="shared" si="14"/>
        <v>16.248924635714289</v>
      </c>
      <c r="BZ10" s="610">
        <f t="shared" si="15"/>
        <v>0.85456403042824969</v>
      </c>
      <c r="CB10" s="610">
        <f>勝浦!CD21</f>
        <v>0.75334617364897483</v>
      </c>
      <c r="CC10" s="610">
        <f>勝浦!CE21</f>
        <v>0.8120464051371884</v>
      </c>
      <c r="CD10" s="610">
        <f>勝浦!CF21</f>
        <v>0.17428571428571429</v>
      </c>
      <c r="CE10" s="610">
        <f>勝浦!CG21</f>
        <v>0.46785714285714292</v>
      </c>
      <c r="CG10" s="564">
        <v>26.275449101796408</v>
      </c>
    </row>
    <row r="11" spans="1:85" x14ac:dyDescent="0.2">
      <c r="A11" t="s">
        <v>539</v>
      </c>
      <c r="B11" s="567">
        <f>富津!D21</f>
        <v>25.285714285714285</v>
      </c>
      <c r="C11" s="619">
        <f>富津!E21</f>
        <v>4.7999999999999994E-2</v>
      </c>
      <c r="D11" s="564">
        <f>富津!F21</f>
        <v>5.671428571428571E-2</v>
      </c>
      <c r="E11" s="564">
        <f>富津!G21</f>
        <v>10.914285714285715</v>
      </c>
      <c r="F11" s="610">
        <f>富津!H21</f>
        <v>0.20571428571428574</v>
      </c>
      <c r="G11" s="564">
        <f>富津!I21</f>
        <v>3.657142857142857</v>
      </c>
      <c r="H11" s="564">
        <f>富津!J21</f>
        <v>9.0857142857142859E-2</v>
      </c>
      <c r="I11" s="610">
        <f>富津!K21</f>
        <v>2.8142857142857147E-2</v>
      </c>
      <c r="J11" s="564">
        <f>富津!L21</f>
        <v>0.19742857142857143</v>
      </c>
      <c r="K11" s="565">
        <f>富津!M21</f>
        <v>220</v>
      </c>
      <c r="L11" s="564">
        <f>富津!N21</f>
        <v>86.714285714285708</v>
      </c>
      <c r="M11" s="564">
        <f>富津!O21</f>
        <v>231.42857142857142</v>
      </c>
      <c r="N11" s="564">
        <f>富津!P21</f>
        <v>124.28571428571429</v>
      </c>
      <c r="O11" s="564">
        <f>富津!Q21</f>
        <v>185.71428571428572</v>
      </c>
      <c r="P11" s="564">
        <f>富津!R21</f>
        <v>6.5714285714285711E-2</v>
      </c>
      <c r="Q11" s="564">
        <f>富津!S21</f>
        <v>10.071428571428571</v>
      </c>
      <c r="R11" s="564">
        <f>富津!T21</f>
        <v>27.714285714285715</v>
      </c>
      <c r="S11" s="564">
        <f>富津!U21</f>
        <v>0.96857142857142853</v>
      </c>
      <c r="T11" s="564">
        <f>富津!V21</f>
        <v>7.9571428571428573</v>
      </c>
      <c r="U11" s="564">
        <f>富津!W21</f>
        <v>181.42857142857142</v>
      </c>
      <c r="V11" s="564">
        <f>富津!X21</f>
        <v>9.8999999999999991E-2</v>
      </c>
      <c r="W11" s="564">
        <f>富津!Y21</f>
        <v>7.1428571428571415</v>
      </c>
      <c r="X11" s="564">
        <f>富津!Z21</f>
        <v>2.9571428571428569</v>
      </c>
      <c r="Y11" s="564">
        <f>富津!AA21</f>
        <v>28.085714285714285</v>
      </c>
      <c r="Z11" s="564">
        <f>富津!AB21</f>
        <v>1.1942857142857142</v>
      </c>
      <c r="AA11" s="564">
        <f>富津!AC21</f>
        <v>1.2114285714285715</v>
      </c>
      <c r="AB11" s="564">
        <f>富津!AD21</f>
        <v>0.32285714285714284</v>
      </c>
      <c r="AC11" s="564">
        <f>富津!AE21</f>
        <v>0.39857142857142858</v>
      </c>
      <c r="AD11" s="564">
        <f>富津!AF21</f>
        <v>0.61</v>
      </c>
      <c r="AE11" s="564">
        <f>富津!AG21</f>
        <v>4.1000000000000002E-2</v>
      </c>
      <c r="AF11" s="564">
        <f>富津!AH21</f>
        <v>2.2285714285714286</v>
      </c>
      <c r="AG11" s="564">
        <f>富津!AI21</f>
        <v>8.5571428571428562E-2</v>
      </c>
      <c r="AH11" s="564">
        <f>富津!AJ21</f>
        <v>0.10114285714285713</v>
      </c>
      <c r="AI11" s="564">
        <f>富津!AK21</f>
        <v>6.4999999999999997E-3</v>
      </c>
      <c r="AJ11" s="564">
        <f>富津!AL21</f>
        <v>0.14999999999999997</v>
      </c>
      <c r="AK11" s="564">
        <f>富津!AM21</f>
        <v>0.20771428571428571</v>
      </c>
      <c r="AL11" s="564">
        <f>富津!AN21</f>
        <v>1.35E-2</v>
      </c>
      <c r="AM11" s="564">
        <f>富津!AO21</f>
        <v>5.0000000000000001E-3</v>
      </c>
      <c r="AN11" s="564">
        <f>富津!AP21</f>
        <v>7.1857142857142851</v>
      </c>
      <c r="AO11" s="564" t="e">
        <f>富津!AQ21</f>
        <v>#DIV/0!</v>
      </c>
      <c r="AP11" s="565">
        <f>富津!AR21</f>
        <v>0.02</v>
      </c>
      <c r="AQ11" s="564">
        <f>富津!AS21</f>
        <v>0.77142857142857146</v>
      </c>
      <c r="AR11" s="564">
        <f>富津!AT21</f>
        <v>0.58857142857142863</v>
      </c>
      <c r="AS11" s="564">
        <f>富津!AU21</f>
        <v>0.28000000000000003</v>
      </c>
      <c r="AT11" s="564">
        <f>富津!AV21</f>
        <v>1.0085714285714287</v>
      </c>
      <c r="AU11" s="564">
        <f>富津!AW21</f>
        <v>1.3371428571428574</v>
      </c>
      <c r="AV11" s="564">
        <f>富津!AX21</f>
        <v>0.60142857142857142</v>
      </c>
      <c r="AW11" s="564">
        <f>富津!AY21</f>
        <v>7.3857142857142857E-2</v>
      </c>
      <c r="AX11" s="565">
        <f>富津!AZ21</f>
        <v>2.6428571428571423</v>
      </c>
      <c r="AY11" s="564">
        <f>富津!BA21</f>
        <v>0.98571428571428565</v>
      </c>
      <c r="AZ11" s="567">
        <f>富津!BB21</f>
        <v>1.5257142857142856</v>
      </c>
      <c r="BA11" s="565">
        <f t="shared" si="1"/>
        <v>2.668571428571429</v>
      </c>
      <c r="BB11" s="586">
        <f t="shared" si="2"/>
        <v>1.0038571428571432</v>
      </c>
      <c r="BC11" s="586">
        <f t="shared" si="3"/>
        <v>6.4588571428571449</v>
      </c>
      <c r="BD11" s="610">
        <f t="shared" si="4"/>
        <v>1.3521126760563378E-3</v>
      </c>
      <c r="BE11" s="610">
        <f t="shared" si="5"/>
        <v>9.1474654377880174E-4</v>
      </c>
      <c r="BF11" s="610">
        <f t="shared" si="6"/>
        <v>0.22738095238095238</v>
      </c>
      <c r="BG11" s="610">
        <f t="shared" si="7"/>
        <v>8.9440993788819888E-3</v>
      </c>
      <c r="BH11" s="610">
        <f t="shared" si="8"/>
        <v>0.20317460317460317</v>
      </c>
      <c r="BI11" s="610">
        <f t="shared" si="9"/>
        <v>2.3296703296703295E-3</v>
      </c>
      <c r="BJ11" s="610">
        <f t="shared" si="10"/>
        <v>2.3162845385067609E-3</v>
      </c>
      <c r="BK11" s="610">
        <f t="shared" si="11"/>
        <v>9.8714285714285709E-3</v>
      </c>
      <c r="BL11" s="610">
        <f t="shared" si="12"/>
        <v>0.22964781160078751</v>
      </c>
      <c r="BM11" s="610">
        <f t="shared" si="13"/>
        <v>0.22663608599309082</v>
      </c>
      <c r="BN11" s="611">
        <f t="shared" si="0"/>
        <v>1.0132888175971611</v>
      </c>
      <c r="BP11" s="564">
        <f t="shared" si="16"/>
        <v>15.007142857142858</v>
      </c>
      <c r="BQ11" s="564">
        <f t="shared" si="17"/>
        <v>7.3161428571428572E-2</v>
      </c>
      <c r="BR11" s="564">
        <f t="shared" si="18"/>
        <v>0.51428571428571435</v>
      </c>
      <c r="BS11" s="564">
        <f t="shared" si="19"/>
        <v>4.2285714285714278</v>
      </c>
      <c r="BT11" s="564">
        <f t="shared" si="20"/>
        <v>0.98571428571428565</v>
      </c>
      <c r="BU11" s="564">
        <f t="shared" si="21"/>
        <v>0.79690428571428573</v>
      </c>
      <c r="BV11" s="564">
        <f t="shared" si="22"/>
        <v>0.26</v>
      </c>
      <c r="BW11" s="564">
        <f t="shared" si="23"/>
        <v>0.25037142857142852</v>
      </c>
      <c r="BX11" s="564">
        <f t="shared" si="24"/>
        <v>1.6819285714285714E-2</v>
      </c>
      <c r="BY11" s="564">
        <f t="shared" si="14"/>
        <v>22.132970714285715</v>
      </c>
      <c r="BZ11" s="610">
        <f t="shared" si="15"/>
        <v>0.8753152259887006</v>
      </c>
      <c r="CB11" s="610">
        <f>富津!CD21</f>
        <v>0.72647476642901887</v>
      </c>
      <c r="CC11" s="610">
        <f>富津!CE21</f>
        <v>0.59403085713400594</v>
      </c>
      <c r="CD11" s="610">
        <f>富津!CF21</f>
        <v>0.3457142857142857</v>
      </c>
      <c r="CE11" s="610">
        <f>富津!CG21</f>
        <v>0.65814285714285703</v>
      </c>
      <c r="CG11" s="564">
        <v>30.952095808383234</v>
      </c>
    </row>
    <row r="12" spans="1:85" x14ac:dyDescent="0.2">
      <c r="A12" t="s">
        <v>596</v>
      </c>
      <c r="B12" s="567">
        <f>千葉!D21</f>
        <v>24.66071428571367</v>
      </c>
      <c r="C12" s="619">
        <f>千葉!E21</f>
        <v>3.842857142857143E-2</v>
      </c>
      <c r="D12" s="564">
        <f>千葉!F21</f>
        <v>0.15357142857142861</v>
      </c>
      <c r="E12" s="564">
        <f>千葉!G21</f>
        <v>11.357142857142858</v>
      </c>
      <c r="F12" s="610">
        <f>千葉!H21</f>
        <v>0.15771428571428572</v>
      </c>
      <c r="G12" s="564">
        <f>千葉!I21</f>
        <v>4.1285714285714281</v>
      </c>
      <c r="H12" s="564">
        <f>千葉!J21</f>
        <v>0.15071428571428575</v>
      </c>
      <c r="I12" s="610">
        <f>千葉!K21</f>
        <v>3.3714285714285717E-2</v>
      </c>
      <c r="J12" s="564">
        <f>千葉!L21</f>
        <v>4.9285714285714287E-2</v>
      </c>
      <c r="K12" s="565">
        <f>千葉!M21</f>
        <v>143.14285714285714</v>
      </c>
      <c r="L12" s="564">
        <f>千葉!N21</f>
        <v>21.857142857142858</v>
      </c>
      <c r="M12" s="564">
        <f>千葉!O21</f>
        <v>33.842857142857142</v>
      </c>
      <c r="N12" s="564">
        <f>千葉!P21</f>
        <v>124</v>
      </c>
      <c r="O12" s="564">
        <f>千葉!Q21</f>
        <v>22.142857142857142</v>
      </c>
      <c r="P12" s="564">
        <f>千葉!R21</f>
        <v>0.19999999999999998</v>
      </c>
      <c r="Q12" s="564">
        <f>千葉!S21</f>
        <v>3.8571428571428568</v>
      </c>
      <c r="R12" s="564">
        <f>千葉!T21</f>
        <v>10.700000000000001</v>
      </c>
      <c r="S12" s="564">
        <f>千葉!U21</f>
        <v>2.2714285714285714</v>
      </c>
      <c r="T12" s="564">
        <f>千葉!V21</f>
        <v>5.742857142857142</v>
      </c>
      <c r="U12" s="564">
        <f>千葉!W21</f>
        <v>134.71428571428572</v>
      </c>
      <c r="V12" s="564">
        <f>千葉!X21</f>
        <v>0.13</v>
      </c>
      <c r="W12" s="564">
        <f>千葉!Y21</f>
        <v>3.7571428571428567</v>
      </c>
      <c r="X12" s="564">
        <f>千葉!Z21</f>
        <v>3.0857142857142859</v>
      </c>
      <c r="Y12" s="564">
        <f>千葉!AA21</f>
        <v>27.142857142857142</v>
      </c>
      <c r="Z12" s="564">
        <f>千葉!AB21</f>
        <v>1.6085714285714285</v>
      </c>
      <c r="AA12" s="564">
        <f>千葉!AC21</f>
        <v>2.1857142857142859</v>
      </c>
      <c r="AB12" s="564">
        <f>千葉!AD21</f>
        <v>0.45857142857142857</v>
      </c>
      <c r="AC12" s="564">
        <f>千葉!AE21</f>
        <v>1.3299999999999998</v>
      </c>
      <c r="AD12" s="564">
        <f>千葉!AF21</f>
        <v>2.0142857142857142</v>
      </c>
      <c r="AE12" s="564">
        <f>千葉!AG21</f>
        <v>0.17428571428571429</v>
      </c>
      <c r="AF12" s="564">
        <f>千葉!AH21</f>
        <v>2.7142857142857144</v>
      </c>
      <c r="AG12" s="564">
        <f>千葉!AI21</f>
        <v>0.17285714285714285</v>
      </c>
      <c r="AH12" s="564">
        <f>千葉!AJ21</f>
        <v>0.105</v>
      </c>
      <c r="AI12" s="564">
        <f>千葉!AK21</f>
        <v>0.13</v>
      </c>
      <c r="AJ12" s="564">
        <f>千葉!AL21</f>
        <v>6.5000000000000002E-2</v>
      </c>
      <c r="AK12" s="564">
        <f>千葉!AM21</f>
        <v>0.70000000000000007</v>
      </c>
      <c r="AL12" s="564">
        <f>千葉!AN21</f>
        <v>7.4999999999999997E-2</v>
      </c>
      <c r="AM12" s="564">
        <f>千葉!AO21</f>
        <v>0.16500000000000001</v>
      </c>
      <c r="AN12" s="564">
        <f>千葉!AP21</f>
        <v>10.12857142857143</v>
      </c>
      <c r="AO12" s="564" t="e">
        <f>千葉!AQ21</f>
        <v>#DIV/0!</v>
      </c>
      <c r="AP12" s="565">
        <f>千葉!AR21</f>
        <v>1.95E-2</v>
      </c>
      <c r="AQ12" s="564">
        <f>千葉!AS21</f>
        <v>1.6428571428571426</v>
      </c>
      <c r="AR12" s="564">
        <f>千葉!AT21</f>
        <v>0.63714285714285712</v>
      </c>
      <c r="AS12" s="564">
        <f>千葉!AU21</f>
        <v>0.29714285714285715</v>
      </c>
      <c r="AT12" s="564">
        <f>千葉!AV21</f>
        <v>1.4857142857142858</v>
      </c>
      <c r="AU12" s="564">
        <f>千葉!AW21</f>
        <v>2.3285714285714287</v>
      </c>
      <c r="AV12" s="564">
        <f>千葉!AX21</f>
        <v>0.52142857142857146</v>
      </c>
      <c r="AW12" s="564">
        <f>千葉!AY21</f>
        <v>1.1499999999999998E-2</v>
      </c>
      <c r="AX12" s="609">
        <f>千葉!AZ21</f>
        <v>4.0571428571428569</v>
      </c>
      <c r="AY12" s="673">
        <f>千葉!BA21</f>
        <v>1.357142857142857</v>
      </c>
      <c r="AZ12" s="567">
        <f>千葉!BB21</f>
        <v>2.3285714285714287</v>
      </c>
      <c r="BA12" s="565">
        <f t="shared" si="1"/>
        <v>4.082357142857143</v>
      </c>
      <c r="BB12" s="586">
        <f t="shared" si="2"/>
        <v>1.3757857142857142</v>
      </c>
      <c r="BC12" s="586">
        <f t="shared" si="3"/>
        <v>3.1772857142851016</v>
      </c>
      <c r="BD12" s="610">
        <f t="shared" si="4"/>
        <v>1.0824949698189136E-3</v>
      </c>
      <c r="BE12" s="610">
        <f t="shared" si="5"/>
        <v>2.4769585253456229E-3</v>
      </c>
      <c r="BF12" s="610">
        <f t="shared" si="6"/>
        <v>0.23660714285714288</v>
      </c>
      <c r="BG12" s="610">
        <f t="shared" si="7"/>
        <v>6.8571428571428577E-3</v>
      </c>
      <c r="BH12" s="610">
        <f t="shared" si="8"/>
        <v>0.22936507936507933</v>
      </c>
      <c r="BI12" s="610">
        <f t="shared" si="9"/>
        <v>3.8644688644688652E-3</v>
      </c>
      <c r="BJ12" s="610">
        <f t="shared" si="10"/>
        <v>2.7748383303938863E-3</v>
      </c>
      <c r="BK12" s="610">
        <f t="shared" si="11"/>
        <v>2.4642857142857144E-3</v>
      </c>
      <c r="BL12" s="610">
        <f t="shared" si="12"/>
        <v>0.24016659635230742</v>
      </c>
      <c r="BM12" s="610">
        <f t="shared" si="13"/>
        <v>0.24532581513137067</v>
      </c>
      <c r="BN12" s="611">
        <f t="shared" si="0"/>
        <v>0.97896993116561937</v>
      </c>
      <c r="BP12" s="564">
        <f t="shared" si="16"/>
        <v>15.616071428571429</v>
      </c>
      <c r="BQ12" s="564">
        <f t="shared" si="17"/>
        <v>0.1981071428571429</v>
      </c>
      <c r="BR12" s="564">
        <f t="shared" si="18"/>
        <v>0.39428571428571429</v>
      </c>
      <c r="BS12" s="564">
        <f t="shared" si="19"/>
        <v>6.4914285714285711</v>
      </c>
      <c r="BT12" s="673">
        <f t="shared" si="20"/>
        <v>1.357142857142857</v>
      </c>
      <c r="BU12" s="564">
        <f t="shared" si="21"/>
        <v>0.20086714285714286</v>
      </c>
      <c r="BV12" s="564">
        <f t="shared" si="22"/>
        <v>3.0999999999999996E-2</v>
      </c>
      <c r="BW12" s="564">
        <f t="shared" si="23"/>
        <v>0.18590571428571429</v>
      </c>
      <c r="BX12" s="564">
        <f t="shared" si="24"/>
        <v>6.4414285714285702E-3</v>
      </c>
      <c r="BY12" s="564">
        <f t="shared" si="14"/>
        <v>24.481249999999996</v>
      </c>
      <c r="BZ12" s="675">
        <f t="shared" si="15"/>
        <v>0.99272266473572335</v>
      </c>
      <c r="CB12" s="610">
        <f>千葉!CD21</f>
        <v>0.74809252235857338</v>
      </c>
      <c r="CC12" s="610">
        <f>千葉!CE21</f>
        <v>0.5751143960156645</v>
      </c>
      <c r="CD12" s="610">
        <f>千葉!CF21</f>
        <v>0.84285714285714286</v>
      </c>
      <c r="CE12" s="610">
        <f>千葉!CG21</f>
        <v>0.53292857142857142</v>
      </c>
      <c r="CG12" s="564">
        <v>36.149700598802397</v>
      </c>
    </row>
    <row r="13" spans="1:85" x14ac:dyDescent="0.2">
      <c r="A13" t="s">
        <v>597</v>
      </c>
      <c r="B13" s="567">
        <f>綾瀬!D21</f>
        <v>28.099999999999998</v>
      </c>
      <c r="C13" s="619">
        <f>綾瀬!E21</f>
        <v>6.6285714285714295E-2</v>
      </c>
      <c r="D13" s="564">
        <f>綾瀬!F21</f>
        <v>0.44285714285714295</v>
      </c>
      <c r="E13" s="564">
        <f>綾瀬!G21</f>
        <v>6.6571428571428566</v>
      </c>
      <c r="F13" s="610">
        <f>綾瀬!H21</f>
        <v>0.12028571428571429</v>
      </c>
      <c r="G13" s="564">
        <f>綾瀬!I21</f>
        <v>2.2714285714285718</v>
      </c>
      <c r="H13" s="564">
        <f>綾瀬!J21</f>
        <v>8.357142857142856E-2</v>
      </c>
      <c r="I13" s="610">
        <f>綾瀬!K21</f>
        <v>1.5714285714285715E-2</v>
      </c>
      <c r="J13" s="564">
        <f>綾瀬!L21</f>
        <v>4.5714285714285721E-2</v>
      </c>
      <c r="K13" s="565">
        <f>綾瀬!M21</f>
        <v>240</v>
      </c>
      <c r="L13" s="564">
        <f>綾瀬!N21</f>
        <v>47.714285714285715</v>
      </c>
      <c r="M13" s="564">
        <f>綾瀬!O21</f>
        <v>77.142857142857139</v>
      </c>
      <c r="N13" s="564">
        <f>綾瀬!P21</f>
        <v>158.57142857142858</v>
      </c>
      <c r="O13" s="564">
        <f>綾瀬!Q21</f>
        <v>47.142857142857146</v>
      </c>
      <c r="P13" s="564">
        <f>綾瀬!R21</f>
        <v>1.4999999999999999E-2</v>
      </c>
      <c r="Q13" s="564">
        <f>綾瀬!S21</f>
        <v>3.5714285714285716</v>
      </c>
      <c r="R13" s="564">
        <f>綾瀬!T21</f>
        <v>17.514285714285712</v>
      </c>
      <c r="S13" s="564">
        <f>綾瀬!U21</f>
        <v>1.8571428571428572</v>
      </c>
      <c r="T13" s="564">
        <f>綾瀬!V21</f>
        <v>8.5285714285714285</v>
      </c>
      <c r="U13" s="564">
        <f>綾瀬!W21</f>
        <v>164.28571428571428</v>
      </c>
      <c r="V13" s="564">
        <f>綾瀬!X21</f>
        <v>9.5714285714285724E-2</v>
      </c>
      <c r="W13" s="564">
        <f>綾瀬!Y21</f>
        <v>5.9571428571428573</v>
      </c>
      <c r="X13" s="564">
        <f>綾瀬!Z21</f>
        <v>6.0857142857142845</v>
      </c>
      <c r="Y13" s="564">
        <f>綾瀬!AA21</f>
        <v>51.714285714285715</v>
      </c>
      <c r="Z13" s="564">
        <f>綾瀬!AB21</f>
        <v>1.5857142857142856</v>
      </c>
      <c r="AA13" s="564">
        <f>綾瀬!AC21</f>
        <v>1.8857142857142857</v>
      </c>
      <c r="AB13" s="564">
        <f>綾瀬!AD21</f>
        <v>0.3914285714285714</v>
      </c>
      <c r="AC13" s="564">
        <f>綾瀬!AE21</f>
        <v>0.98571428571428565</v>
      </c>
      <c r="AD13" s="564">
        <f>綾瀬!AF21</f>
        <v>1.5357142857142858</v>
      </c>
      <c r="AE13" s="564">
        <f>綾瀬!AG21</f>
        <v>5.2857142857142859E-2</v>
      </c>
      <c r="AF13" s="564">
        <f>綾瀬!AH21</f>
        <v>6.9857142857142867</v>
      </c>
      <c r="AG13" s="564">
        <f>綾瀬!AI21</f>
        <v>0.25142857142857145</v>
      </c>
      <c r="AH13" s="564">
        <f>綾瀬!AJ21</f>
        <v>0.24</v>
      </c>
      <c r="AI13" s="564">
        <f>綾瀬!AK21</f>
        <v>0.02</v>
      </c>
      <c r="AJ13" s="564">
        <f>綾瀬!AL21</f>
        <v>3.5000000000000003E-2</v>
      </c>
      <c r="AK13" s="564">
        <f>綾瀬!AM21</f>
        <v>0.32857142857142857</v>
      </c>
      <c r="AL13" s="564">
        <f>綾瀬!AN21</f>
        <v>0.01</v>
      </c>
      <c r="AM13" s="564">
        <f>綾瀬!AO21</f>
        <v>1.4999999999999999E-2</v>
      </c>
      <c r="AN13" s="564">
        <f>綾瀬!AP21</f>
        <v>11.700000000000001</v>
      </c>
      <c r="AO13" s="564" t="e">
        <f>綾瀬!AQ21</f>
        <v>#DIV/0!</v>
      </c>
      <c r="AP13" s="565">
        <f>綾瀬!AR21</f>
        <v>0.45000000000000007</v>
      </c>
      <c r="AQ13" s="564">
        <f>綾瀬!AS21</f>
        <v>1.1071428571428572</v>
      </c>
      <c r="AR13" s="564">
        <f>綾瀬!AT21</f>
        <v>0.45000000000000007</v>
      </c>
      <c r="AS13" s="564">
        <f>綾瀬!AU21</f>
        <v>0.45000000000000007</v>
      </c>
      <c r="AT13" s="564">
        <f>綾瀬!AV21</f>
        <v>0.88571428571428557</v>
      </c>
      <c r="AU13" s="564">
        <f>綾瀬!AW21</f>
        <v>1.7285714285714284</v>
      </c>
      <c r="AV13" s="564">
        <f>綾瀬!AX21</f>
        <v>0.73857142857142855</v>
      </c>
      <c r="AW13" s="564">
        <f>綾瀬!AY21</f>
        <v>6.0000000000000005E-2</v>
      </c>
      <c r="AX13" s="609">
        <f>綾瀬!AZ21</f>
        <v>2.9714285714285715</v>
      </c>
      <c r="AY13" s="564">
        <f>綾瀬!BA21</f>
        <v>1.642857142857143</v>
      </c>
      <c r="AZ13" s="567" t="e">
        <f>綾瀬!BB21</f>
        <v>#DIV/0!</v>
      </c>
      <c r="BA13" s="565">
        <f t="shared" si="1"/>
        <v>3.3428571428571434</v>
      </c>
      <c r="BB13" s="586">
        <f t="shared" si="2"/>
        <v>1.6414285714285715</v>
      </c>
      <c r="BC13" s="586">
        <f t="shared" si="3"/>
        <v>13.782714285714285</v>
      </c>
      <c r="BD13" s="610">
        <f t="shared" si="4"/>
        <v>1.8672032193158955E-3</v>
      </c>
      <c r="BE13" s="610">
        <f t="shared" si="5"/>
        <v>7.1428571428571444E-3</v>
      </c>
      <c r="BF13" s="610">
        <f t="shared" si="6"/>
        <v>0.13869047619047617</v>
      </c>
      <c r="BG13" s="610">
        <f t="shared" si="7"/>
        <v>5.2298136645962737E-3</v>
      </c>
      <c r="BH13" s="610">
        <f t="shared" si="8"/>
        <v>0.12619047619047621</v>
      </c>
      <c r="BI13" s="610">
        <f t="shared" si="9"/>
        <v>2.1428571428571425E-3</v>
      </c>
      <c r="BJ13" s="610">
        <f t="shared" si="10"/>
        <v>1.2933568489124044E-3</v>
      </c>
      <c r="BK13" s="610">
        <f t="shared" si="11"/>
        <v>2.2857142857142859E-3</v>
      </c>
      <c r="BL13" s="610">
        <f t="shared" si="12"/>
        <v>0.1477005365526492</v>
      </c>
      <c r="BM13" s="610">
        <f t="shared" si="13"/>
        <v>0.13714221813255631</v>
      </c>
      <c r="BN13" s="611">
        <f t="shared" si="0"/>
        <v>1.076988097202042</v>
      </c>
      <c r="BP13" s="564">
        <f t="shared" si="16"/>
        <v>9.1535714285714285</v>
      </c>
      <c r="BQ13" s="564">
        <f t="shared" si="17"/>
        <v>0.5712857142857144</v>
      </c>
      <c r="BR13" s="564">
        <f t="shared" si="18"/>
        <v>0.30071428571428571</v>
      </c>
      <c r="BS13" s="564">
        <f t="shared" si="19"/>
        <v>4.7542857142857144</v>
      </c>
      <c r="BT13" s="564">
        <f t="shared" si="20"/>
        <v>1.642857142857143</v>
      </c>
      <c r="BU13" s="564">
        <f t="shared" si="21"/>
        <v>0.43849428571428573</v>
      </c>
      <c r="BV13" s="564">
        <f t="shared" si="22"/>
        <v>6.6000000000000003E-2</v>
      </c>
      <c r="BW13" s="564">
        <f t="shared" si="23"/>
        <v>0.2267142857142857</v>
      </c>
      <c r="BX13" s="564">
        <f t="shared" si="24"/>
        <v>5.9642857142857145E-3</v>
      </c>
      <c r="BY13" s="564">
        <f t="shared" si="14"/>
        <v>17.159887142857141</v>
      </c>
      <c r="BZ13" s="612">
        <f t="shared" si="15"/>
        <v>0.61067214031520078</v>
      </c>
      <c r="CB13" s="610">
        <f>綾瀬!CD21</f>
        <v>0.64525931773048018</v>
      </c>
      <c r="CC13" s="610"/>
      <c r="CD13" s="610">
        <f>綾瀬!CF21</f>
        <v>0.84285714285714286</v>
      </c>
      <c r="CE13" s="610">
        <f>綾瀬!CG21</f>
        <v>0.79857142857142871</v>
      </c>
      <c r="CG13" s="564"/>
    </row>
    <row r="14" spans="1:85" x14ac:dyDescent="0.2">
      <c r="A14" t="s">
        <v>598</v>
      </c>
      <c r="B14" s="567">
        <f>多摩!D21</f>
        <v>26.514285714285709</v>
      </c>
      <c r="C14" s="619">
        <f>多摩!E21</f>
        <v>8.5714285714285729E-2</v>
      </c>
      <c r="D14" s="564">
        <f>多摩!F21</f>
        <v>0.34714285714285714</v>
      </c>
      <c r="E14" s="564">
        <f>多摩!G21</f>
        <v>10.028571428571428</v>
      </c>
      <c r="F14" s="610">
        <f>多摩!H21</f>
        <v>0.14371428571428571</v>
      </c>
      <c r="G14" s="564">
        <f>多摩!I21</f>
        <v>3.4285714285714284</v>
      </c>
      <c r="H14" s="564">
        <f>多摩!J21</f>
        <v>0.19214285714285712</v>
      </c>
      <c r="I14" s="610">
        <f>多摩!K21</f>
        <v>2.6428571428571423E-2</v>
      </c>
      <c r="J14" s="564">
        <f>多摩!L21</f>
        <v>3.7142857142857144E-2</v>
      </c>
      <c r="K14" s="565">
        <f>多摩!M21</f>
        <v>208.42857142857142</v>
      </c>
      <c r="L14" s="564">
        <f>多摩!N21</f>
        <v>47.142857142857146</v>
      </c>
      <c r="M14" s="564">
        <f>多摩!O21</f>
        <v>67.142857142857139</v>
      </c>
      <c r="N14" s="564">
        <f>多摩!P21</f>
        <v>187.14285714285714</v>
      </c>
      <c r="O14" s="564">
        <f>多摩!Q21</f>
        <v>40</v>
      </c>
      <c r="P14" s="564">
        <f>多摩!R21</f>
        <v>1.4999999999999999E-2</v>
      </c>
      <c r="Q14" s="564">
        <f>多摩!S21</f>
        <v>3.2857142857142856</v>
      </c>
      <c r="R14" s="564">
        <f>多摩!T21</f>
        <v>10.428571428571429</v>
      </c>
      <c r="S14" s="564">
        <f>多摩!U21</f>
        <v>1.5714285714285714</v>
      </c>
      <c r="T14" s="564">
        <f>多摩!V21</f>
        <v>6.6428571428571432</v>
      </c>
      <c r="U14" s="564">
        <f>多摩!W21</f>
        <v>113.28571428571429</v>
      </c>
      <c r="V14" s="564">
        <f>多摩!X21</f>
        <v>6.5714285714285711E-2</v>
      </c>
      <c r="W14" s="564">
        <f>多摩!Y21</f>
        <v>3.5142857142857147</v>
      </c>
      <c r="X14" s="564">
        <f>多摩!Z21</f>
        <v>7.2714285714285714</v>
      </c>
      <c r="Y14" s="564">
        <f>多摩!AA21</f>
        <v>33.428571428571431</v>
      </c>
      <c r="Z14" s="564">
        <f>多摩!AB21</f>
        <v>1.2285714285714284</v>
      </c>
      <c r="AA14" s="564">
        <f>多摩!AC21</f>
        <v>1.7</v>
      </c>
      <c r="AB14" s="564">
        <f>多摩!AD21</f>
        <v>0.30571428571428566</v>
      </c>
      <c r="AC14" s="564">
        <f>多摩!AE21</f>
        <v>0.84285714285714286</v>
      </c>
      <c r="AD14" s="564">
        <f>多摩!AF21</f>
        <v>2.2857142857142856</v>
      </c>
      <c r="AE14" s="564">
        <f>多摩!AG21</f>
        <v>2.2857142857142857E-2</v>
      </c>
      <c r="AF14" s="564">
        <f>多摩!AH21</f>
        <v>10.157142857142857</v>
      </c>
      <c r="AG14" s="564">
        <f>多摩!AI21</f>
        <v>0.21285714285714286</v>
      </c>
      <c r="AH14" s="564">
        <f>多摩!AJ21</f>
        <v>0.21285714285714283</v>
      </c>
      <c r="AI14" s="564">
        <f>多摩!AK21</f>
        <v>0.02</v>
      </c>
      <c r="AJ14" s="564">
        <f>多摩!AL21</f>
        <v>3.5000000000000003E-2</v>
      </c>
      <c r="AK14" s="564">
        <f>多摩!AM21</f>
        <v>0.3</v>
      </c>
      <c r="AL14" s="564">
        <f>多摩!AN21</f>
        <v>0.01</v>
      </c>
      <c r="AM14" s="564">
        <f>多摩!AO21</f>
        <v>1.4999999999999999E-2</v>
      </c>
      <c r="AN14" s="564">
        <f>多摩!AP21</f>
        <v>7.4999999999999991</v>
      </c>
      <c r="AO14" s="564" t="e">
        <f>多摩!AQ21</f>
        <v>#DIV/0!</v>
      </c>
      <c r="AP14" s="565">
        <f>多摩!AR21</f>
        <v>0.45000000000000007</v>
      </c>
      <c r="AQ14" s="564">
        <f>多摩!AS21</f>
        <v>0.79285714285714282</v>
      </c>
      <c r="AR14" s="564">
        <f>多摩!AT21</f>
        <v>0.51428571428571435</v>
      </c>
      <c r="AS14" s="564">
        <f>多摩!AU21</f>
        <v>0.45000000000000007</v>
      </c>
      <c r="AT14" s="564">
        <f>多摩!AV21</f>
        <v>0.88142857142857134</v>
      </c>
      <c r="AU14" s="564">
        <f>多摩!AW21</f>
        <v>1.4142857142857144</v>
      </c>
      <c r="AV14" s="564">
        <f>多摩!AX21</f>
        <v>0.76142857142857145</v>
      </c>
      <c r="AW14" s="564">
        <f>多摩!AY21</f>
        <v>6.6428571428571434E-2</v>
      </c>
      <c r="AX14" s="609">
        <f>多摩!AZ21</f>
        <v>2.9428571428571426</v>
      </c>
      <c r="AY14" s="564">
        <f>多摩!BA21</f>
        <v>1.3285714285714287</v>
      </c>
      <c r="AZ14" s="567" t="e">
        <f>多摩!BB21</f>
        <v>#DIV/0!</v>
      </c>
      <c r="BA14" s="565">
        <f t="shared" si="1"/>
        <v>3.0885714285714285</v>
      </c>
      <c r="BB14" s="586">
        <f t="shared" si="2"/>
        <v>1.3607142857142858</v>
      </c>
      <c r="BC14" s="586">
        <f t="shared" si="3"/>
        <v>7.9534285714285673</v>
      </c>
      <c r="BD14" s="610">
        <f t="shared" si="4"/>
        <v>2.4144869215291754E-3</v>
      </c>
      <c r="BE14" s="610">
        <f t="shared" si="5"/>
        <v>5.5990783410138252E-3</v>
      </c>
      <c r="BF14" s="610">
        <f t="shared" si="6"/>
        <v>0.20892857142857144</v>
      </c>
      <c r="BG14" s="610">
        <f t="shared" si="7"/>
        <v>6.2484472049689436E-3</v>
      </c>
      <c r="BH14" s="610">
        <f t="shared" si="8"/>
        <v>0.19047619047619047</v>
      </c>
      <c r="BI14" s="610">
        <f t="shared" si="9"/>
        <v>4.9267399267399264E-3</v>
      </c>
      <c r="BJ14" s="610">
        <f t="shared" si="10"/>
        <v>2.1751910640799526E-3</v>
      </c>
      <c r="BK14" s="610">
        <f t="shared" si="11"/>
        <v>1.8571428571428571E-3</v>
      </c>
      <c r="BL14" s="610">
        <f t="shared" si="12"/>
        <v>0.21694213669111445</v>
      </c>
      <c r="BM14" s="610">
        <f t="shared" si="13"/>
        <v>0.20568371152912215</v>
      </c>
      <c r="BN14" s="611">
        <f t="shared" si="0"/>
        <v>1.0547365908476338</v>
      </c>
      <c r="BP14" s="564">
        <f t="shared" si="16"/>
        <v>13.789285714285715</v>
      </c>
      <c r="BQ14" s="564">
        <f t="shared" si="17"/>
        <v>0.44781428571428572</v>
      </c>
      <c r="BR14" s="564">
        <f t="shared" si="18"/>
        <v>0.35928571428571426</v>
      </c>
      <c r="BS14" s="564">
        <f t="shared" si="19"/>
        <v>4.7085714285714282</v>
      </c>
      <c r="BT14" s="564">
        <f t="shared" si="20"/>
        <v>1.3285714285714287</v>
      </c>
      <c r="BU14" s="564">
        <f t="shared" si="21"/>
        <v>0.43324285714285721</v>
      </c>
      <c r="BV14" s="564">
        <f t="shared" si="22"/>
        <v>5.5999999999999994E-2</v>
      </c>
      <c r="BW14" s="564">
        <f t="shared" si="23"/>
        <v>0.1563342857142857</v>
      </c>
      <c r="BX14" s="564">
        <f t="shared" si="24"/>
        <v>5.4871428571428562E-3</v>
      </c>
      <c r="BY14" s="564">
        <f t="shared" si="14"/>
        <v>21.284592857142858</v>
      </c>
      <c r="BZ14" s="610">
        <f t="shared" si="15"/>
        <v>0.80275942887931051</v>
      </c>
      <c r="CB14" s="610">
        <f>多摩!CD21</f>
        <v>0.68617205826668681</v>
      </c>
      <c r="CC14" s="610"/>
      <c r="CD14" s="610">
        <f>多摩!CF21</f>
        <v>0.53285714285714281</v>
      </c>
      <c r="CE14" s="610">
        <f>多摩!CG21</f>
        <v>0.82785714285714285</v>
      </c>
      <c r="CG14" s="564">
        <v>42.789156626506021</v>
      </c>
    </row>
    <row r="15" spans="1:85" x14ac:dyDescent="0.2">
      <c r="A15" t="s">
        <v>599</v>
      </c>
      <c r="B15" s="567">
        <f>大和!D21</f>
        <v>25.214285714285719</v>
      </c>
      <c r="C15" s="619">
        <f>大和!E21</f>
        <v>4.0500000000000001E-2</v>
      </c>
      <c r="D15" s="564">
        <f>大和!F21</f>
        <v>0.13</v>
      </c>
      <c r="E15" s="564">
        <f>大和!G21</f>
        <v>11.057142857142859</v>
      </c>
      <c r="F15" s="610">
        <f>大和!H21</f>
        <v>0.14835714285714285</v>
      </c>
      <c r="G15" s="564">
        <f>大和!I21</f>
        <v>3.7285714285714286</v>
      </c>
      <c r="H15" s="564">
        <f>大和!J21</f>
        <v>0.11</v>
      </c>
      <c r="I15" s="610">
        <f>大和!K21</f>
        <v>2.0571428571428574E-2</v>
      </c>
      <c r="J15" s="564">
        <f>大和!L21</f>
        <v>4.8285714285714286E-2</v>
      </c>
      <c r="K15" s="565">
        <f>大和!M21</f>
        <v>152.42857142857142</v>
      </c>
      <c r="L15" s="564">
        <f>大和!N21</f>
        <v>21.5</v>
      </c>
      <c r="M15" s="564" t="e">
        <f>大和!O21</f>
        <v>#DIV/0!</v>
      </c>
      <c r="N15" s="564">
        <f>大和!P21</f>
        <v>114.42857142857143</v>
      </c>
      <c r="O15" s="564">
        <f>大和!Q21</f>
        <v>83.285714285714292</v>
      </c>
      <c r="P15" s="564">
        <f>大和!R21</f>
        <v>0.13</v>
      </c>
      <c r="Q15" s="564">
        <f>大和!S21</f>
        <v>6.5428571428571427</v>
      </c>
      <c r="R15" s="564">
        <f>大和!T21</f>
        <v>12.87142857142857</v>
      </c>
      <c r="S15" s="564">
        <f>大和!U21</f>
        <v>1.0678571428571428</v>
      </c>
      <c r="T15" s="564">
        <f>大和!V21</f>
        <v>6.2714285714285714</v>
      </c>
      <c r="U15" s="564">
        <f>大和!W21</f>
        <v>131.14285714285714</v>
      </c>
      <c r="V15" s="564">
        <f>大和!X21</f>
        <v>0.21500000000000002</v>
      </c>
      <c r="W15" s="564">
        <f>大和!Y21</f>
        <v>3.4857142857142853</v>
      </c>
      <c r="X15" s="588">
        <f>大和!Z21</f>
        <v>68.142857142857139</v>
      </c>
      <c r="Y15" s="564">
        <f>大和!AA21</f>
        <v>29.142857142857142</v>
      </c>
      <c r="Z15" s="564">
        <f>大和!AB21</f>
        <v>1.2414285714285713</v>
      </c>
      <c r="AA15" s="564">
        <f>大和!AC21</f>
        <v>1.5142857142857145</v>
      </c>
      <c r="AB15" s="564">
        <f>大和!AD21</f>
        <v>0.38500000000000006</v>
      </c>
      <c r="AC15" s="564">
        <f>大和!AE21</f>
        <v>0.43714285714285711</v>
      </c>
      <c r="AD15" s="564">
        <f>大和!AF21</f>
        <v>1.4085714285714286</v>
      </c>
      <c r="AE15" s="564">
        <f>大和!AG21</f>
        <v>0.25499999999999995</v>
      </c>
      <c r="AF15" s="564">
        <f>大和!AH21</f>
        <v>5.0142857142857142</v>
      </c>
      <c r="AG15" s="564">
        <f>大和!AI21</f>
        <v>0.25499999999999995</v>
      </c>
      <c r="AH15" s="564">
        <f>大和!AJ21</f>
        <v>0.22</v>
      </c>
      <c r="AI15" s="564">
        <f>大和!AK21</f>
        <v>0.16500000000000001</v>
      </c>
      <c r="AJ15" s="564">
        <f>大和!AL21</f>
        <v>0.24</v>
      </c>
      <c r="AK15" s="564">
        <f>大和!AM21</f>
        <v>8.5714285714285729E-2</v>
      </c>
      <c r="AL15" s="564">
        <f>大和!AN21</f>
        <v>0.02</v>
      </c>
      <c r="AM15" s="564">
        <f>大和!AO21</f>
        <v>0.18500000000000003</v>
      </c>
      <c r="AN15" s="564">
        <f>大和!AP21</f>
        <v>5.8571428571428568</v>
      </c>
      <c r="AO15" s="564" t="e">
        <f>大和!AQ21</f>
        <v>#DIV/0!</v>
      </c>
      <c r="AP15" s="565">
        <f>大和!AR21</f>
        <v>0.16692857142857145</v>
      </c>
      <c r="AQ15" s="564">
        <f>大和!AS21</f>
        <v>1.2571428571428569</v>
      </c>
      <c r="AR15" s="564">
        <f>大和!AT21</f>
        <v>0.54428571428571426</v>
      </c>
      <c r="AS15" s="564">
        <f>大和!AU21</f>
        <v>0.4042857142857143</v>
      </c>
      <c r="AT15" s="564">
        <f>大和!AV21</f>
        <v>0.92</v>
      </c>
      <c r="AU15" s="564">
        <f>大和!AW21</f>
        <v>1.2285714285714284</v>
      </c>
      <c r="AV15" s="564">
        <f>大和!AX21</f>
        <v>0.95285714285714274</v>
      </c>
      <c r="AW15" s="564">
        <f>大和!AY21</f>
        <v>9.685714285714285E-2</v>
      </c>
      <c r="AX15" s="565">
        <f>大和!AZ21</f>
        <v>3.2857142857142851</v>
      </c>
      <c r="AY15" s="564">
        <f>大和!BA21</f>
        <v>1.3571428571428574</v>
      </c>
      <c r="AZ15" s="567">
        <f>大和!BB21</f>
        <v>3.3142857142857141</v>
      </c>
      <c r="BA15" s="565">
        <f t="shared" si="1"/>
        <v>3.292642857142857</v>
      </c>
      <c r="BB15" s="586">
        <f t="shared" si="2"/>
        <v>1.3582857142857141</v>
      </c>
      <c r="BC15" s="586">
        <f t="shared" si="3"/>
        <v>5.2880000000000038</v>
      </c>
      <c r="BD15" s="610">
        <f t="shared" si="4"/>
        <v>1.1408450704225353E-3</v>
      </c>
      <c r="BE15" s="610">
        <f t="shared" si="5"/>
        <v>2.096774193548387E-3</v>
      </c>
      <c r="BF15" s="610">
        <f t="shared" si="6"/>
        <v>0.2303571428571429</v>
      </c>
      <c r="BG15" s="610">
        <f t="shared" si="7"/>
        <v>6.450310559006211E-3</v>
      </c>
      <c r="BH15" s="610">
        <f t="shared" si="8"/>
        <v>0.20714285714285716</v>
      </c>
      <c r="BI15" s="610">
        <f t="shared" si="9"/>
        <v>2.8205128205128207E-3</v>
      </c>
      <c r="BJ15" s="610">
        <f t="shared" si="10"/>
        <v>1.6931216931216932E-3</v>
      </c>
      <c r="BK15" s="610">
        <f t="shared" si="11"/>
        <v>2.4142857142857143E-3</v>
      </c>
      <c r="BL15" s="610">
        <f t="shared" si="12"/>
        <v>0.23359476212111382</v>
      </c>
      <c r="BM15" s="610">
        <f t="shared" si="13"/>
        <v>0.22052108792978359</v>
      </c>
      <c r="BN15" s="611">
        <f t="shared" si="0"/>
        <v>1.059285369549297</v>
      </c>
      <c r="BP15" s="564">
        <f t="shared" si="16"/>
        <v>15.203571428571431</v>
      </c>
      <c r="BQ15" s="564">
        <f t="shared" si="17"/>
        <v>0.16770000000000002</v>
      </c>
      <c r="BR15" s="564">
        <f t="shared" si="18"/>
        <v>0.37089285714285714</v>
      </c>
      <c r="BS15" s="564">
        <f t="shared" si="19"/>
        <v>5.2571428571428562</v>
      </c>
      <c r="BT15" s="564">
        <f t="shared" si="20"/>
        <v>1.3571428571428574</v>
      </c>
      <c r="BU15" s="564">
        <f t="shared" si="21"/>
        <v>0.19758500000000001</v>
      </c>
      <c r="BV15" s="564">
        <f t="shared" si="22"/>
        <v>0.11660000000000001</v>
      </c>
      <c r="BW15" s="564">
        <f t="shared" si="23"/>
        <v>0.18097714285714284</v>
      </c>
      <c r="BX15" s="564">
        <f t="shared" si="24"/>
        <v>1.0926571428571428E-2</v>
      </c>
      <c r="BY15" s="564">
        <f t="shared" si="14"/>
        <v>22.862538714285712</v>
      </c>
      <c r="BZ15" s="610">
        <f t="shared" si="15"/>
        <v>0.90672958073654364</v>
      </c>
      <c r="CB15" s="610">
        <f>大和!CD21</f>
        <v>0.70487575996904039</v>
      </c>
      <c r="CC15" s="610">
        <f>大和!CE21</f>
        <v>1.0080271138550985</v>
      </c>
      <c r="CD15" s="610">
        <f>大和!CF21</f>
        <v>0.30857142857142861</v>
      </c>
      <c r="CE15" s="610">
        <f>大和!CG21</f>
        <v>1.0497142857142856</v>
      </c>
      <c r="CG15" s="564">
        <v>33.363095238095241</v>
      </c>
    </row>
    <row r="16" spans="1:85" x14ac:dyDescent="0.2">
      <c r="A16" t="s">
        <v>600</v>
      </c>
      <c r="B16" s="567">
        <f>横浜!D21</f>
        <v>26.528571428571428</v>
      </c>
      <c r="C16" s="619">
        <f>横浜!E21</f>
        <v>9.9999999999999985E-3</v>
      </c>
      <c r="D16" s="564">
        <f>横浜!F21</f>
        <v>5.7142857142857141E-2</v>
      </c>
      <c r="E16" s="564">
        <f>横浜!G21</f>
        <v>13.12857142857143</v>
      </c>
      <c r="F16" s="610">
        <f>横浜!H21</f>
        <v>0.26714285714285713</v>
      </c>
      <c r="G16" s="564">
        <f>横浜!I21</f>
        <v>4.7</v>
      </c>
      <c r="H16" s="564">
        <f>横浜!J21</f>
        <v>0.18</v>
      </c>
      <c r="I16" s="610">
        <f>横浜!K21</f>
        <v>3.8571428571428576E-2</v>
      </c>
      <c r="J16" s="564">
        <f>横浜!L21</f>
        <v>0.12714285714285714</v>
      </c>
      <c r="K16" s="565">
        <f>横浜!M21</f>
        <v>204.28571428571428</v>
      </c>
      <c r="L16" s="564">
        <f>横浜!N21</f>
        <v>49.714285714285715</v>
      </c>
      <c r="M16" s="564">
        <f>横浜!O21</f>
        <v>119</v>
      </c>
      <c r="N16" s="564">
        <f>横浜!P21</f>
        <v>109.42857142857143</v>
      </c>
      <c r="O16" s="564">
        <f>横浜!Q21</f>
        <v>113.42857142857143</v>
      </c>
      <c r="P16" s="564">
        <f>横浜!R21</f>
        <v>1.3285714285714284E-2</v>
      </c>
      <c r="Q16" s="564">
        <f>横浜!S21</f>
        <v>5.242857142857142</v>
      </c>
      <c r="R16" s="564">
        <f>横浜!T21</f>
        <v>23.099999999999998</v>
      </c>
      <c r="S16" s="564">
        <f>横浜!U21</f>
        <v>2.0171428571428569</v>
      </c>
      <c r="T16" s="564">
        <f>横浜!V21</f>
        <v>7.4571428571428564</v>
      </c>
      <c r="U16" s="564">
        <f>横浜!W21</f>
        <v>162.85714285714286</v>
      </c>
      <c r="V16" s="564">
        <f>横浜!X21</f>
        <v>0.45000000000000007</v>
      </c>
      <c r="W16" s="564">
        <f>横浜!Y21</f>
        <v>6.9142857142857137</v>
      </c>
      <c r="X16" s="564">
        <f>横浜!Z21</f>
        <v>3.9428571428571426</v>
      </c>
      <c r="Y16" s="564">
        <f>横浜!AA21</f>
        <v>30.285714285714285</v>
      </c>
      <c r="Z16" s="564">
        <f>横浜!AB21</f>
        <v>1.2542857142857144</v>
      </c>
      <c r="AA16" s="564">
        <f>横浜!AC21</f>
        <v>1.0978571428571429</v>
      </c>
      <c r="AB16" s="564">
        <f>横浜!AD21</f>
        <v>0.54999999999999993</v>
      </c>
      <c r="AC16" s="564">
        <f>横浜!AE21</f>
        <v>0.70000000000000007</v>
      </c>
      <c r="AD16" s="564">
        <f>横浜!AF21</f>
        <v>3.3000000000000003</v>
      </c>
      <c r="AE16" s="564">
        <f>横浜!AG21</f>
        <v>4.7</v>
      </c>
      <c r="AF16" s="564">
        <f>横浜!AH21</f>
        <v>5</v>
      </c>
      <c r="AG16" s="564">
        <f>横浜!AI21</f>
        <v>6</v>
      </c>
      <c r="AH16" s="564">
        <f>横浜!AJ21</f>
        <v>6.5</v>
      </c>
      <c r="AI16" s="564">
        <f>横浜!AK21</f>
        <v>10</v>
      </c>
      <c r="AJ16" s="564">
        <f>横浜!AL21</f>
        <v>1.2999999999999999E-2</v>
      </c>
      <c r="AK16" s="564">
        <f>横浜!AM21</f>
        <v>0.33142857142857146</v>
      </c>
      <c r="AL16" s="564">
        <f>横浜!AN21</f>
        <v>8.9999999999999993E-3</v>
      </c>
      <c r="AM16" s="564">
        <f>横浜!AO21</f>
        <v>1.6500000000000001</v>
      </c>
      <c r="AN16" s="564">
        <f>横浜!AP21</f>
        <v>8.2714285714285705</v>
      </c>
      <c r="AO16" s="564" t="e">
        <f>横浜!AQ21</f>
        <v>#DIV/0!</v>
      </c>
      <c r="AP16" s="565">
        <f>横浜!AR21</f>
        <v>7.4285714285714288E-2</v>
      </c>
      <c r="AQ16" s="564">
        <f>横浜!AS21</f>
        <v>1.0828571428571427</v>
      </c>
      <c r="AR16" s="564">
        <f>横浜!AT21</f>
        <v>0.44</v>
      </c>
      <c r="AS16" s="564">
        <f>横浜!AU21</f>
        <v>0.36428571428571427</v>
      </c>
      <c r="AT16" s="564">
        <f>横浜!AV21</f>
        <v>0.74428571428571444</v>
      </c>
      <c r="AU16" s="564">
        <f>横浜!AW21</f>
        <v>1.6428571428571428</v>
      </c>
      <c r="AV16" s="564">
        <f>横浜!AX21</f>
        <v>0.31857142857142862</v>
      </c>
      <c r="AW16" s="564">
        <f>横浜!AY21</f>
        <v>4.2857142857142859E-3</v>
      </c>
      <c r="AX16" s="565">
        <f>横浜!AZ21</f>
        <v>2.6999999999999997</v>
      </c>
      <c r="AY16" s="564">
        <f>横浜!BA21</f>
        <v>1.2142857142857142</v>
      </c>
      <c r="AZ16" s="567" t="e">
        <f>横浜!BB21</f>
        <v>#DIV/0!</v>
      </c>
      <c r="BA16" s="565">
        <f t="shared" si="1"/>
        <v>2.7057142857142855</v>
      </c>
      <c r="BB16" s="586">
        <f t="shared" si="2"/>
        <v>1.2214285714285711</v>
      </c>
      <c r="BC16" s="586">
        <f t="shared" si="3"/>
        <v>4.1057142857142814</v>
      </c>
      <c r="BD16" s="610">
        <f t="shared" si="4"/>
        <v>2.8169014084507038E-4</v>
      </c>
      <c r="BE16" s="610">
        <f t="shared" si="5"/>
        <v>9.2165898617511521E-4</v>
      </c>
      <c r="BF16" s="610">
        <f t="shared" si="6"/>
        <v>0.27351190476190479</v>
      </c>
      <c r="BG16" s="610">
        <f t="shared" si="7"/>
        <v>1.1614906832298136E-2</v>
      </c>
      <c r="BH16" s="610">
        <f t="shared" si="8"/>
        <v>0.26111111111111113</v>
      </c>
      <c r="BI16" s="610">
        <f t="shared" si="9"/>
        <v>4.6153846153846149E-3</v>
      </c>
      <c r="BJ16" s="610">
        <f t="shared" si="10"/>
        <v>3.174603174603175E-3</v>
      </c>
      <c r="BK16" s="610">
        <f t="shared" si="11"/>
        <v>6.3571428571428572E-3</v>
      </c>
      <c r="BL16" s="610">
        <f t="shared" si="12"/>
        <v>0.27471525388892498</v>
      </c>
      <c r="BM16" s="610">
        <f t="shared" si="13"/>
        <v>0.28687314859053992</v>
      </c>
      <c r="BN16" s="611">
        <f t="shared" si="0"/>
        <v>0.95761926565330746</v>
      </c>
      <c r="BP16" s="564">
        <f t="shared" si="16"/>
        <v>18.051785714285717</v>
      </c>
      <c r="BQ16" s="564">
        <f t="shared" si="17"/>
        <v>7.3714285714285718E-2</v>
      </c>
      <c r="BR16" s="564">
        <f t="shared" si="18"/>
        <v>0.66785714285714282</v>
      </c>
      <c r="BS16" s="564">
        <f t="shared" si="19"/>
        <v>4.3199999999999994</v>
      </c>
      <c r="BT16" s="564">
        <f t="shared" si="20"/>
        <v>1.2142857142857142</v>
      </c>
      <c r="BU16" s="564">
        <f t="shared" si="21"/>
        <v>0.45687428571428573</v>
      </c>
      <c r="BV16" s="564">
        <f t="shared" si="22"/>
        <v>0.1588</v>
      </c>
      <c r="BW16" s="564">
        <f t="shared" si="23"/>
        <v>0.22474285714285713</v>
      </c>
      <c r="BX16" s="564">
        <f t="shared" si="24"/>
        <v>8.7555714285714268E-3</v>
      </c>
      <c r="BY16" s="564">
        <f t="shared" si="14"/>
        <v>25.176815571428577</v>
      </c>
      <c r="BZ16" s="610">
        <f t="shared" si="15"/>
        <v>0.94904528271405508</v>
      </c>
      <c r="CB16" s="610">
        <f>横浜!CD21</f>
        <v>0.69299421493762636</v>
      </c>
      <c r="CC16" s="610"/>
      <c r="CD16" s="610">
        <f>横浜!CF21</f>
        <v>0.89857142857142869</v>
      </c>
      <c r="CE16" s="610">
        <f>横浜!CG21</f>
        <v>0.32285714285714295</v>
      </c>
      <c r="CG16" s="564">
        <v>36.410714285714285</v>
      </c>
    </row>
    <row r="17" spans="1:85" x14ac:dyDescent="0.2">
      <c r="A17" t="s">
        <v>560</v>
      </c>
      <c r="B17" s="567">
        <f>川崎!D21</f>
        <v>26.5</v>
      </c>
      <c r="C17" s="619">
        <f>川崎!E21</f>
        <v>5.0000000000000001E-3</v>
      </c>
      <c r="D17" s="564">
        <f>川崎!F21</f>
        <v>9.65714285714286E-2</v>
      </c>
      <c r="E17" s="564">
        <f>川崎!G21</f>
        <v>12.471428571428572</v>
      </c>
      <c r="F17" s="610">
        <f>川崎!H21</f>
        <v>0.22428571428571425</v>
      </c>
      <c r="G17" s="564">
        <f>川崎!I21</f>
        <v>4.1428571428571432</v>
      </c>
      <c r="H17" s="564">
        <f>川崎!J21</f>
        <v>0.13257142857142856</v>
      </c>
      <c r="I17" s="610">
        <f>川崎!K21</f>
        <v>4.2571428571428573E-2</v>
      </c>
      <c r="J17" s="564">
        <f>川崎!L21</f>
        <v>6.9999999999999993E-2</v>
      </c>
      <c r="K17" s="565">
        <f>川崎!M21</f>
        <v>201.42857142857142</v>
      </c>
      <c r="L17" s="564">
        <f>川崎!N21</f>
        <v>23.942857142857143</v>
      </c>
      <c r="M17" s="564" t="e">
        <f>川崎!O21</f>
        <v>#DIV/0!</v>
      </c>
      <c r="N17" s="564">
        <f>川崎!P21</f>
        <v>108.71428571428571</v>
      </c>
      <c r="O17" s="564">
        <f>川崎!Q21</f>
        <v>50.571428571428569</v>
      </c>
      <c r="P17" s="564">
        <f>川崎!R21</f>
        <v>5.9999999999999993E-3</v>
      </c>
      <c r="Q17" s="564">
        <f>川崎!S21</f>
        <v>3.7142857142857144</v>
      </c>
      <c r="R17" s="564">
        <f>川崎!T21</f>
        <v>23</v>
      </c>
      <c r="S17" s="564">
        <f>川崎!U21</f>
        <v>2.9328571428571428</v>
      </c>
      <c r="T17" s="564">
        <f>川崎!V21</f>
        <v>12</v>
      </c>
      <c r="U17" s="564">
        <f>川崎!W21</f>
        <v>208.57142857142858</v>
      </c>
      <c r="V17" s="564">
        <f>川崎!X21</f>
        <v>0.33357142857142857</v>
      </c>
      <c r="W17" s="564">
        <f>川崎!Y21</f>
        <v>7.7714285714285714</v>
      </c>
      <c r="X17" s="564">
        <f>川崎!Z21</f>
        <v>6.128571428571429</v>
      </c>
      <c r="Y17" s="564">
        <f>川崎!AA21</f>
        <v>35.285714285714285</v>
      </c>
      <c r="Z17" s="564">
        <f>川崎!AB21</f>
        <v>1.4242857142857142</v>
      </c>
      <c r="AA17" s="564">
        <f>川崎!AC21</f>
        <v>1.6300000000000001</v>
      </c>
      <c r="AB17" s="564">
        <f>川崎!AD21</f>
        <v>0.29142857142857143</v>
      </c>
      <c r="AC17" s="564">
        <f>川崎!AE21</f>
        <v>1.4014285714285715</v>
      </c>
      <c r="AD17" s="564">
        <f>川崎!AF21</f>
        <v>1.0999999999999999</v>
      </c>
      <c r="AE17" s="564">
        <f>川崎!AG21</f>
        <v>4.4714285714285713E-2</v>
      </c>
      <c r="AF17" s="564">
        <f>川崎!AH21</f>
        <v>4.3714285714285719</v>
      </c>
      <c r="AG17" s="564">
        <f>川崎!AI21</f>
        <v>0.11214285714285714</v>
      </c>
      <c r="AH17" s="564">
        <f>川崎!AJ21</f>
        <v>0.11014285714285714</v>
      </c>
      <c r="AI17" s="564">
        <f>川崎!AK21</f>
        <v>7.0000000000000001E-3</v>
      </c>
      <c r="AJ17" s="564">
        <f>川崎!AL21</f>
        <v>8.9999999999999993E-3</v>
      </c>
      <c r="AK17" s="564">
        <f>川崎!AM21</f>
        <v>0.33999999999999997</v>
      </c>
      <c r="AL17" s="564">
        <f>川崎!AN21</f>
        <v>1.4999999999999999E-2</v>
      </c>
      <c r="AM17" s="564">
        <f>川崎!AO21</f>
        <v>3.9000000000000003E-3</v>
      </c>
      <c r="AN17" s="564">
        <f>川崎!AP21</f>
        <v>6.8857142857142861</v>
      </c>
      <c r="AO17" s="564" t="e">
        <f>川崎!AQ21</f>
        <v>#DIV/0!</v>
      </c>
      <c r="AP17" s="565">
        <f>川崎!AR21</f>
        <v>2.1999999999999995E-2</v>
      </c>
      <c r="AQ17" s="564">
        <f>川崎!AS21</f>
        <v>1.657142857142857</v>
      </c>
      <c r="AR17" s="564">
        <f>川崎!AT21</f>
        <v>0.81571428571428573</v>
      </c>
      <c r="AS17" s="564">
        <f>川崎!AU21</f>
        <v>0.49428571428571422</v>
      </c>
      <c r="AT17" s="564">
        <f>川崎!AV21</f>
        <v>0.96285714285714297</v>
      </c>
      <c r="AU17" s="564">
        <f>川崎!AW21</f>
        <v>1.9571428571428571</v>
      </c>
      <c r="AV17" s="564">
        <f>川崎!AX21</f>
        <v>0.58714285714285719</v>
      </c>
      <c r="AW17" s="564">
        <f>川崎!AY21</f>
        <v>3.5857142857142858E-2</v>
      </c>
      <c r="AX17" s="565">
        <f>川崎!AZ21</f>
        <v>3.9142857142857146</v>
      </c>
      <c r="AY17" s="564">
        <f>川崎!BA21</f>
        <v>1.6142857142857143</v>
      </c>
      <c r="AZ17" s="567">
        <f>川崎!BB21</f>
        <v>3.1285714285714286</v>
      </c>
      <c r="BA17" s="565">
        <f t="shared" si="1"/>
        <v>3.952</v>
      </c>
      <c r="BB17" s="586">
        <f t="shared" si="2"/>
        <v>1.6172857142857144</v>
      </c>
      <c r="BC17" s="586">
        <f t="shared" si="3"/>
        <v>3.7861428571428561</v>
      </c>
      <c r="BD17" s="610">
        <f t="shared" si="4"/>
        <v>1.4084507042253522E-4</v>
      </c>
      <c r="BE17" s="610">
        <f t="shared" si="5"/>
        <v>1.5576036866359452E-3</v>
      </c>
      <c r="BF17" s="610">
        <f t="shared" si="6"/>
        <v>0.25982142857142859</v>
      </c>
      <c r="BG17" s="610">
        <f t="shared" si="7"/>
        <v>9.751552795031055E-3</v>
      </c>
      <c r="BH17" s="610">
        <f t="shared" si="8"/>
        <v>0.23015873015873017</v>
      </c>
      <c r="BI17" s="610">
        <f t="shared" si="9"/>
        <v>3.3992673992673992E-3</v>
      </c>
      <c r="BJ17" s="610">
        <f t="shared" si="10"/>
        <v>3.5038212815990595E-3</v>
      </c>
      <c r="BK17" s="610">
        <f t="shared" si="11"/>
        <v>3.4999999999999996E-3</v>
      </c>
      <c r="BL17" s="610">
        <f t="shared" si="12"/>
        <v>0.26151987732848708</v>
      </c>
      <c r="BM17" s="610">
        <f t="shared" si="13"/>
        <v>0.25031337163462769</v>
      </c>
      <c r="BN17" s="611">
        <f t="shared" si="0"/>
        <v>1.0447699043030632</v>
      </c>
      <c r="BP17" s="564">
        <f t="shared" si="16"/>
        <v>17.148214285714285</v>
      </c>
      <c r="BQ17" s="564">
        <f t="shared" si="17"/>
        <v>0.1245771428571429</v>
      </c>
      <c r="BR17" s="564">
        <f t="shared" si="18"/>
        <v>0.56071428571428561</v>
      </c>
      <c r="BS17" s="564">
        <f t="shared" si="19"/>
        <v>6.2628571428571433</v>
      </c>
      <c r="BT17" s="564">
        <f t="shared" si="20"/>
        <v>1.6142857142857143</v>
      </c>
      <c r="BU17" s="564">
        <f t="shared" si="21"/>
        <v>0.22003485714285714</v>
      </c>
      <c r="BV17" s="564">
        <f t="shared" si="22"/>
        <v>7.0800000000000002E-2</v>
      </c>
      <c r="BW17" s="564">
        <f t="shared" si="23"/>
        <v>0.28782857142857143</v>
      </c>
      <c r="BX17" s="564">
        <f t="shared" si="24"/>
        <v>6.2028571428571428E-3</v>
      </c>
      <c r="BY17" s="564">
        <f t="shared" si="14"/>
        <v>26.295514857142855</v>
      </c>
      <c r="BZ17" s="610">
        <f t="shared" si="15"/>
        <v>0.99228357951482471</v>
      </c>
      <c r="CB17" s="610">
        <f>川崎!CD21</f>
        <v>0.70767934588940207</v>
      </c>
      <c r="CC17" s="610">
        <f>川崎!CE21</f>
        <v>0.79850369843114166</v>
      </c>
      <c r="CD17" s="610">
        <f>川崎!CF21</f>
        <v>0.99428571428571411</v>
      </c>
      <c r="CE17" s="610">
        <f>川崎!CG21</f>
        <v>0.62300000000000011</v>
      </c>
      <c r="CG17" s="564">
        <v>37.03012048192771</v>
      </c>
    </row>
    <row r="18" spans="1:85" x14ac:dyDescent="0.2">
      <c r="A18" t="s">
        <v>601</v>
      </c>
      <c r="B18" s="567">
        <f>相模原!D21</f>
        <v>25.785714285714285</v>
      </c>
      <c r="C18" s="619">
        <f>相模原!E21</f>
        <v>1.1428571428571427E-2</v>
      </c>
      <c r="D18" s="564">
        <f>相模原!F21</f>
        <v>0.1842857142857143</v>
      </c>
      <c r="E18" s="564">
        <f>相模原!G21</f>
        <v>10.271428571428572</v>
      </c>
      <c r="F18" s="610">
        <f>相模原!H21</f>
        <v>0.19</v>
      </c>
      <c r="G18" s="564">
        <f>相模原!I21</f>
        <v>3.8999999999999995</v>
      </c>
      <c r="H18" s="564">
        <f>相模原!J21</f>
        <v>0.18857142857142856</v>
      </c>
      <c r="I18" s="610">
        <f>相模原!K21</f>
        <v>2.5714285714285714E-2</v>
      </c>
      <c r="J18" s="564">
        <f>相模原!L21</f>
        <v>3.4285714285714287E-2</v>
      </c>
      <c r="K18" s="565">
        <f>相模原!M21</f>
        <v>188.85714285714286</v>
      </c>
      <c r="L18" s="564">
        <f>相模原!N21</f>
        <v>49.714285714285715</v>
      </c>
      <c r="M18" s="564">
        <f>相模原!O21</f>
        <v>74.857142857142861</v>
      </c>
      <c r="N18" s="564">
        <f>相模原!P21</f>
        <v>164</v>
      </c>
      <c r="O18" s="564">
        <f>相模原!Q21</f>
        <v>45.857142857142854</v>
      </c>
      <c r="P18" s="564">
        <f>相模原!R21</f>
        <v>0.01</v>
      </c>
      <c r="Q18" s="564">
        <f>相模原!S21</f>
        <v>5.4999999999999991</v>
      </c>
      <c r="R18" s="564">
        <f>相模原!T21</f>
        <v>10.157142857142857</v>
      </c>
      <c r="S18" s="564">
        <f>相模原!U21</f>
        <v>1.4285714285714286</v>
      </c>
      <c r="T18" s="564">
        <f>相模原!V21</f>
        <v>6.3714285714285719</v>
      </c>
      <c r="U18" s="564">
        <f>相模原!W21</f>
        <v>112.28571428571429</v>
      </c>
      <c r="V18" s="564">
        <f>相模原!X21</f>
        <v>6.0285714285714283E-2</v>
      </c>
      <c r="W18" s="564">
        <f>相模原!Y21</f>
        <v>3.628571428571429</v>
      </c>
      <c r="X18" s="564">
        <f>相模原!Z21</f>
        <v>5.9428571428571431</v>
      </c>
      <c r="Y18" s="564">
        <f>相模原!AA21</f>
        <v>34.428571428571431</v>
      </c>
      <c r="Z18" s="564">
        <f>相模原!AB21</f>
        <v>1.1985714285714286</v>
      </c>
      <c r="AA18" s="564">
        <f>相模原!AC21</f>
        <v>1.4285714285714286</v>
      </c>
      <c r="AB18" s="564">
        <f>相模原!AD21</f>
        <v>0.27285714285714285</v>
      </c>
      <c r="AC18" s="564">
        <f>相模原!AE21</f>
        <v>0.65571428571428581</v>
      </c>
      <c r="AD18" s="564">
        <f>相模原!AF21</f>
        <v>1.9142857142857144</v>
      </c>
      <c r="AE18" s="564">
        <f>相模原!AG21</f>
        <v>4.128571428571428E-2</v>
      </c>
      <c r="AF18" s="564">
        <f>相模原!AH21</f>
        <v>7.8999999999999995</v>
      </c>
      <c r="AG18" s="564">
        <f>相模原!AI21</f>
        <v>0.19857142857142854</v>
      </c>
      <c r="AH18" s="564">
        <f>相模原!AJ21</f>
        <v>0.29142857142857143</v>
      </c>
      <c r="AI18" s="564">
        <f>相模原!AK21</f>
        <v>1.2999999999999999E-2</v>
      </c>
      <c r="AJ18" s="564">
        <f>相模原!AL21</f>
        <v>2.4999999999999998E-2</v>
      </c>
      <c r="AK18" s="564">
        <f>相模原!AM21</f>
        <v>0.28714285714285709</v>
      </c>
      <c r="AL18" s="564">
        <f>相模原!AN21</f>
        <v>1.4999999999999999E-2</v>
      </c>
      <c r="AM18" s="564">
        <f>相模原!AO21</f>
        <v>1.2499999999999999E-2</v>
      </c>
      <c r="AN18" s="564">
        <f>相模原!AP21</f>
        <v>6.9142857142857137</v>
      </c>
      <c r="AO18" s="564" t="e">
        <f>相模原!AQ21</f>
        <v>#DIV/0!</v>
      </c>
      <c r="AP18" s="565">
        <f>相模原!AR21</f>
        <v>0.19999999999999996</v>
      </c>
      <c r="AQ18" s="564">
        <f>相模原!AS21</f>
        <v>1.8142857142857145</v>
      </c>
      <c r="AR18" s="564">
        <f>相模原!AT21</f>
        <v>0.62714285714285711</v>
      </c>
      <c r="AS18" s="564">
        <f>相模原!AU21</f>
        <v>0.54142857142857148</v>
      </c>
      <c r="AT18" s="564">
        <f>相模原!AV21</f>
        <v>1.1614285714285715</v>
      </c>
      <c r="AU18" s="564">
        <f>相模原!AW21</f>
        <v>2.0428571428571431</v>
      </c>
      <c r="AV18" s="564">
        <f>相模原!AX21</f>
        <v>0.34428571428571425</v>
      </c>
      <c r="AW18" s="564">
        <f>相模原!AY21</f>
        <v>8.5714285714285719E-3</v>
      </c>
      <c r="AX18" s="565">
        <f>相模原!AZ21</f>
        <v>4.3428571428571425</v>
      </c>
      <c r="AY18" s="564">
        <f>相模原!BA21</f>
        <v>1.2457142857142858</v>
      </c>
      <c r="AZ18" s="567" t="e">
        <f>相模原!BB21</f>
        <v>#DIV/0!</v>
      </c>
      <c r="BA18" s="565">
        <f t="shared" si="1"/>
        <v>4.3442857142857143</v>
      </c>
      <c r="BB18" s="586">
        <f t="shared" si="2"/>
        <v>1.2342857142857144</v>
      </c>
      <c r="BC18" s="586">
        <f t="shared" si="3"/>
        <v>5.3914285714285732</v>
      </c>
      <c r="BD18" s="610">
        <f t="shared" si="4"/>
        <v>3.2193158953722331E-4</v>
      </c>
      <c r="BE18" s="610">
        <f t="shared" si="5"/>
        <v>2.9723502304147466E-3</v>
      </c>
      <c r="BF18" s="610">
        <f t="shared" si="6"/>
        <v>0.21398809523809526</v>
      </c>
      <c r="BG18" s="610">
        <f t="shared" si="7"/>
        <v>8.2608695652173908E-3</v>
      </c>
      <c r="BH18" s="610">
        <f t="shared" si="8"/>
        <v>0.21666666666666665</v>
      </c>
      <c r="BI18" s="610">
        <f t="shared" si="9"/>
        <v>4.8351648351648352E-3</v>
      </c>
      <c r="BJ18" s="610">
        <f t="shared" si="10"/>
        <v>2.1164021164021161E-3</v>
      </c>
      <c r="BK18" s="610">
        <f t="shared" si="11"/>
        <v>1.7142857142857144E-3</v>
      </c>
      <c r="BL18" s="610">
        <f t="shared" si="12"/>
        <v>0.21728237705804723</v>
      </c>
      <c r="BM18" s="610">
        <f t="shared" si="13"/>
        <v>0.23359338889773673</v>
      </c>
      <c r="BN18" s="611">
        <f t="shared" si="0"/>
        <v>0.93017348685826817</v>
      </c>
      <c r="BP18" s="564">
        <f t="shared" si="16"/>
        <v>14.123214285714287</v>
      </c>
      <c r="BQ18" s="564">
        <f t="shared" si="17"/>
        <v>0.23772857142857146</v>
      </c>
      <c r="BR18" s="564">
        <f t="shared" si="18"/>
        <v>0.47499999999999998</v>
      </c>
      <c r="BS18" s="564">
        <f t="shared" si="19"/>
        <v>6.9485714285714284</v>
      </c>
      <c r="BT18" s="564">
        <f t="shared" si="20"/>
        <v>1.2457142857142858</v>
      </c>
      <c r="BU18" s="564">
        <f t="shared" si="21"/>
        <v>0.45687428571428573</v>
      </c>
      <c r="BV18" s="564">
        <f t="shared" si="22"/>
        <v>6.4199999999999993E-2</v>
      </c>
      <c r="BW18" s="564">
        <f t="shared" si="23"/>
        <v>0.15495428571428571</v>
      </c>
      <c r="BX18" s="564">
        <f t="shared" si="24"/>
        <v>9.184999999999997E-3</v>
      </c>
      <c r="BY18" s="564">
        <f t="shared" si="14"/>
        <v>23.715442142857142</v>
      </c>
      <c r="BZ18" s="610">
        <f t="shared" si="15"/>
        <v>0.91971243767313027</v>
      </c>
      <c r="CB18" s="610">
        <f>相模原!CD21</f>
        <v>0.77261048709026336</v>
      </c>
      <c r="CC18" s="610"/>
      <c r="CD18" s="610">
        <f>相模原!CF21</f>
        <v>0.88142857142857134</v>
      </c>
      <c r="CE18" s="610">
        <f>相模原!CG21</f>
        <v>0.35285714285714287</v>
      </c>
      <c r="CG18" s="564">
        <v>41.023809523809526</v>
      </c>
    </row>
    <row r="19" spans="1:85" x14ac:dyDescent="0.2">
      <c r="A19" t="s">
        <v>430</v>
      </c>
      <c r="B19" s="567">
        <f>甲府!D21</f>
        <v>25.171428571428571</v>
      </c>
      <c r="C19" s="619">
        <f>甲府!E21</f>
        <v>5.9999999999999993E-3</v>
      </c>
      <c r="D19" s="564">
        <f>甲府!F21</f>
        <v>4.5642857142857138E-2</v>
      </c>
      <c r="E19" s="564">
        <f>甲府!G21</f>
        <v>9.3428571428571434</v>
      </c>
      <c r="F19" s="610">
        <f>甲府!H21</f>
        <v>7.8714285714285723E-2</v>
      </c>
      <c r="G19" s="564">
        <f>甲府!I21</f>
        <v>3.4014285714285717</v>
      </c>
      <c r="H19" s="564">
        <f>甲府!J21</f>
        <v>0.14714285714285716</v>
      </c>
      <c r="I19" s="610">
        <f>甲府!K21</f>
        <v>8.7428571428571425E-2</v>
      </c>
      <c r="J19" s="564">
        <f>甲府!L21</f>
        <v>4.0142857142857147E-2</v>
      </c>
      <c r="K19" s="565">
        <f>甲府!M21</f>
        <v>122.42857142857143</v>
      </c>
      <c r="L19" s="564">
        <f>甲府!N21</f>
        <v>15.685714285714285</v>
      </c>
      <c r="M19" s="564">
        <f>甲府!O21</f>
        <v>16.571428571428573</v>
      </c>
      <c r="N19" s="564">
        <f>甲府!P21</f>
        <v>105.28571428571429</v>
      </c>
      <c r="O19" s="564">
        <f>甲府!Q21</f>
        <v>36.428571428571431</v>
      </c>
      <c r="P19" s="564">
        <f>甲府!R21</f>
        <v>4.5999999999999999E-3</v>
      </c>
      <c r="Q19" s="564">
        <f>甲府!S21</f>
        <v>0.91714285714285715</v>
      </c>
      <c r="R19" s="564">
        <f>甲府!T21</f>
        <v>5.4857142857142858</v>
      </c>
      <c r="S19" s="564">
        <f>甲府!U21</f>
        <v>0.40428571428571419</v>
      </c>
      <c r="T19" s="564">
        <f>甲府!V21</f>
        <v>2.7428571428571433</v>
      </c>
      <c r="U19" s="564">
        <f>甲府!W21</f>
        <v>38.428571428571431</v>
      </c>
      <c r="V19" s="564">
        <f>甲府!X21</f>
        <v>3.3428571428571432E-2</v>
      </c>
      <c r="W19" s="564">
        <f>甲府!Y21</f>
        <v>1.9899999999999998</v>
      </c>
      <c r="X19" s="564">
        <f>甲府!Z21</f>
        <v>3.5</v>
      </c>
      <c r="Y19" s="564">
        <f>甲府!AA21</f>
        <v>21.142857142857142</v>
      </c>
      <c r="Z19" s="564">
        <f>甲府!AB21</f>
        <v>0.78142857142857136</v>
      </c>
      <c r="AA19" s="564">
        <f>甲府!AC21</f>
        <v>0.69714285714285729</v>
      </c>
      <c r="AB19" s="564">
        <f>甲府!AD21</f>
        <v>0.10442857142857143</v>
      </c>
      <c r="AC19" s="564">
        <f>甲府!AE21</f>
        <v>0.27857142857142858</v>
      </c>
      <c r="AD19" s="564">
        <f>甲府!AF21</f>
        <v>1.1071428571428572</v>
      </c>
      <c r="AE19" s="564">
        <f>甲府!AG21</f>
        <v>2.9999999999999996E-3</v>
      </c>
      <c r="AF19" s="564">
        <f>甲府!AH21</f>
        <v>3.8285714285714292</v>
      </c>
      <c r="AG19" s="564">
        <f>甲府!AI21</f>
        <v>0.10657142857142857</v>
      </c>
      <c r="AH19" s="564">
        <f>甲府!AJ21</f>
        <v>6.1571428571428562E-2</v>
      </c>
      <c r="AI19" s="564">
        <f>甲府!AK21</f>
        <v>5.9999999999999993E-3</v>
      </c>
      <c r="AJ19" s="564">
        <f>甲府!AL21</f>
        <v>1.2885714285714284E-3</v>
      </c>
      <c r="AK19" s="564">
        <f>甲府!AM21</f>
        <v>8.2000000000000031E-2</v>
      </c>
      <c r="AL19" s="564">
        <f>甲府!AN21</f>
        <v>8.8571428571428579E-4</v>
      </c>
      <c r="AM19" s="564">
        <f>甲府!AO21</f>
        <v>9.1999999999999992E-4</v>
      </c>
      <c r="AN19" s="564">
        <f>甲府!AP21</f>
        <v>4.2</v>
      </c>
      <c r="AO19" s="564" t="e">
        <f>甲府!AQ21</f>
        <v>#DIV/0!</v>
      </c>
      <c r="AP19" s="565">
        <f>甲府!AR21</f>
        <v>1.95E-2</v>
      </c>
      <c r="AQ19" s="564">
        <f>甲府!AS21</f>
        <v>1.5128571428571429</v>
      </c>
      <c r="AR19" s="564">
        <f>甲府!AT21</f>
        <v>1.0014285714285713</v>
      </c>
      <c r="AS19" s="564">
        <f>甲府!AU21</f>
        <v>0.69142857142857139</v>
      </c>
      <c r="AT19" s="564">
        <f>甲府!AV21</f>
        <v>1.2899999999999998</v>
      </c>
      <c r="AU19" s="564">
        <f>甲府!AW21</f>
        <v>1.3385714285714285</v>
      </c>
      <c r="AV19" s="564">
        <f>甲府!AX21</f>
        <v>1.42</v>
      </c>
      <c r="AW19" s="564">
        <f>甲府!AY21</f>
        <v>3.678571428571429E-2</v>
      </c>
      <c r="AX19" s="565">
        <f>甲府!AZ21</f>
        <v>4.5142857142857142</v>
      </c>
      <c r="AY19" s="564">
        <f>甲府!BA21</f>
        <v>1.4957142857142856</v>
      </c>
      <c r="AZ19" s="567">
        <f>甲府!BB21</f>
        <v>4.2142857142857144</v>
      </c>
      <c r="BA19" s="565">
        <f t="shared" si="1"/>
        <v>4.5152142857142854</v>
      </c>
      <c r="BB19" s="586">
        <f t="shared" si="2"/>
        <v>1.5053571428571428</v>
      </c>
      <c r="BC19" s="586">
        <f t="shared" si="3"/>
        <v>6.0120714285714278</v>
      </c>
      <c r="BD19" s="610">
        <f t="shared" si="4"/>
        <v>1.6901408450704222E-4</v>
      </c>
      <c r="BE19" s="610">
        <f t="shared" si="5"/>
        <v>7.361751152073732E-4</v>
      </c>
      <c r="BF19" s="610">
        <f t="shared" si="6"/>
        <v>0.19464285714285715</v>
      </c>
      <c r="BG19" s="610">
        <f t="shared" si="7"/>
        <v>3.4223602484472052E-3</v>
      </c>
      <c r="BH19" s="610">
        <f t="shared" si="8"/>
        <v>0.18896825396825398</v>
      </c>
      <c r="BI19" s="610">
        <f t="shared" si="9"/>
        <v>3.7728937728937731E-3</v>
      </c>
      <c r="BJ19" s="610">
        <f t="shared" si="10"/>
        <v>7.1957671957671955E-3</v>
      </c>
      <c r="BK19" s="610">
        <f t="shared" si="11"/>
        <v>2.0071428571428575E-3</v>
      </c>
      <c r="BL19" s="610">
        <f t="shared" si="12"/>
        <v>0.19554804634257156</v>
      </c>
      <c r="BM19" s="610">
        <f t="shared" si="13"/>
        <v>0.20536641804250499</v>
      </c>
      <c r="BN19" s="611">
        <f t="shared" si="0"/>
        <v>0.95219095802751297</v>
      </c>
      <c r="BP19" s="564">
        <f t="shared" si="16"/>
        <v>12.846428571428572</v>
      </c>
      <c r="BQ19" s="564">
        <f t="shared" si="17"/>
        <v>5.887928571428571E-2</v>
      </c>
      <c r="BR19" s="564">
        <f t="shared" si="18"/>
        <v>0.19678571428571431</v>
      </c>
      <c r="BS19" s="564">
        <f t="shared" si="19"/>
        <v>7.2228571428571433</v>
      </c>
      <c r="BT19" s="564">
        <f t="shared" si="20"/>
        <v>1.4957142857142856</v>
      </c>
      <c r="BU19" s="564">
        <f t="shared" si="21"/>
        <v>0.14415171428571427</v>
      </c>
      <c r="BV19" s="564">
        <f t="shared" si="22"/>
        <v>5.0999999999999997E-2</v>
      </c>
      <c r="BW19" s="564">
        <f t="shared" si="23"/>
        <v>5.303142857142857E-2</v>
      </c>
      <c r="BX19" s="564">
        <f t="shared" si="24"/>
        <v>1.5316285714285713E-3</v>
      </c>
      <c r="BY19" s="564">
        <f t="shared" si="14"/>
        <v>22.07037977142857</v>
      </c>
      <c r="BZ19" s="610">
        <f t="shared" si="15"/>
        <v>0.87680282860385916</v>
      </c>
      <c r="CB19" s="610">
        <f>甲府!CD21</f>
        <v>0.75065716867655052</v>
      </c>
      <c r="CC19" s="610">
        <f>甲府!CE21</f>
        <v>0.93921328572837004</v>
      </c>
      <c r="CD19" s="610">
        <f>甲府!CF21</f>
        <v>4.8571428571428564E-2</v>
      </c>
      <c r="CE19" s="610">
        <f>甲府!CG21</f>
        <v>1.4567857142857144</v>
      </c>
      <c r="CG19" s="564">
        <v>41.69879518072289</v>
      </c>
    </row>
    <row r="20" spans="1:85" x14ac:dyDescent="0.2">
      <c r="A20" t="s">
        <v>321</v>
      </c>
      <c r="B20" s="567">
        <f>吉田!D21</f>
        <v>26.657142857142855</v>
      </c>
      <c r="C20" s="619">
        <f>吉田!E21</f>
        <v>5.9999999999999993E-3</v>
      </c>
      <c r="D20" s="564">
        <f>吉田!F21</f>
        <v>6.2857142857142861E-2</v>
      </c>
      <c r="E20" s="564">
        <f>吉田!G21</f>
        <v>10.971428571428572</v>
      </c>
      <c r="F20" s="610">
        <f>吉田!H21</f>
        <v>5.3000000000000012E-2</v>
      </c>
      <c r="G20" s="564">
        <f>吉田!I21</f>
        <v>3.8428571428571425</v>
      </c>
      <c r="H20" s="564">
        <f>吉田!J21</f>
        <v>0.17142857142857143</v>
      </c>
      <c r="I20" s="610">
        <f>吉田!K21</f>
        <v>8.7714285714285717E-2</v>
      </c>
      <c r="J20" s="564">
        <f>吉田!L21</f>
        <v>2.7857142857142858E-2</v>
      </c>
      <c r="K20" s="565">
        <f>吉田!M21</f>
        <v>90.142857142857139</v>
      </c>
      <c r="L20" s="564">
        <f>吉田!N21</f>
        <v>17.671428571428571</v>
      </c>
      <c r="M20" s="564">
        <f>吉田!O21</f>
        <v>17.857142857142858</v>
      </c>
      <c r="N20" s="564">
        <f>吉田!P21</f>
        <v>108</v>
      </c>
      <c r="O20" s="564">
        <f>吉田!Q21</f>
        <v>15.857142857142858</v>
      </c>
      <c r="P20" s="564">
        <f>吉田!R21</f>
        <v>4.5999999999999999E-3</v>
      </c>
      <c r="Q20" s="564">
        <f>吉田!S21</f>
        <v>1.3828571428571428</v>
      </c>
      <c r="R20" s="564">
        <f>吉田!T21</f>
        <v>4.0142857142857142</v>
      </c>
      <c r="S20" s="564">
        <f>吉田!U21</f>
        <v>0.26</v>
      </c>
      <c r="T20" s="564">
        <f>吉田!V21</f>
        <v>2.4285714285714284</v>
      </c>
      <c r="U20" s="564">
        <f>吉田!W21</f>
        <v>36.285714285714285</v>
      </c>
      <c r="V20" s="564">
        <f>吉田!X21</f>
        <v>2.814285714285714E-2</v>
      </c>
      <c r="W20" s="564">
        <f>吉田!Y21</f>
        <v>1.3642857142857143</v>
      </c>
      <c r="X20" s="564">
        <f>吉田!Z21</f>
        <v>3.8571428571428572</v>
      </c>
      <c r="Y20" s="564">
        <f>吉田!AA21</f>
        <v>31</v>
      </c>
      <c r="Z20" s="564">
        <f>吉田!AB21</f>
        <v>0.81714285714285728</v>
      </c>
      <c r="AA20" s="564">
        <f>吉田!AC21</f>
        <v>0.70428571428571429</v>
      </c>
      <c r="AB20" s="564">
        <f>吉田!AD21</f>
        <v>8.7999999999999995E-2</v>
      </c>
      <c r="AC20" s="564">
        <f>吉田!AE21</f>
        <v>0.20857142857142857</v>
      </c>
      <c r="AD20" s="564">
        <f>吉田!AF21</f>
        <v>1.1800000000000002</v>
      </c>
      <c r="AE20" s="564">
        <f>吉田!AG21</f>
        <v>2.9999999999999996E-3</v>
      </c>
      <c r="AF20" s="564">
        <f>吉田!AH21</f>
        <v>4.0428571428571427</v>
      </c>
      <c r="AG20" s="564">
        <f>吉田!AI21</f>
        <v>3.2428571428571425E-2</v>
      </c>
      <c r="AH20" s="564">
        <f>吉田!AJ21</f>
        <v>4.2285714285714281E-2</v>
      </c>
      <c r="AI20" s="564">
        <f>吉田!AK21</f>
        <v>5.9999999999999993E-3</v>
      </c>
      <c r="AJ20" s="564">
        <f>吉田!AL21</f>
        <v>6.9571428571428573E-4</v>
      </c>
      <c r="AK20" s="564">
        <f>吉田!AM21</f>
        <v>3.8571428571428576E-2</v>
      </c>
      <c r="AL20" s="564">
        <f>吉田!AN21</f>
        <v>6.9999999999999999E-4</v>
      </c>
      <c r="AM20" s="564">
        <f>吉田!AO21</f>
        <v>4.0999999999999988E-4</v>
      </c>
      <c r="AN20" s="564">
        <f>吉田!AP21</f>
        <v>4.3571428571428568</v>
      </c>
      <c r="AO20" s="564" t="e">
        <f>吉田!AQ21</f>
        <v>#DIV/0!</v>
      </c>
      <c r="AP20" s="565">
        <f>吉田!AR21</f>
        <v>1.8857142857142857E-2</v>
      </c>
      <c r="AQ20" s="564">
        <f>吉田!AS21</f>
        <v>1.4000000000000001</v>
      </c>
      <c r="AR20" s="564">
        <f>吉田!AT21</f>
        <v>0.96142857142857141</v>
      </c>
      <c r="AS20" s="564">
        <f>吉田!AU21</f>
        <v>0.64857142857142858</v>
      </c>
      <c r="AT20" s="564">
        <f>吉田!AV21</f>
        <v>1.1442857142857146</v>
      </c>
      <c r="AU20" s="564">
        <f>吉田!AW21</f>
        <v>1.1871428571428573</v>
      </c>
      <c r="AV20" s="564">
        <f>吉田!AX21</f>
        <v>1.6285714285714286</v>
      </c>
      <c r="AW20" s="564">
        <f>吉田!AY21</f>
        <v>4.4142857142857143E-2</v>
      </c>
      <c r="AX20" s="565">
        <f>吉田!AZ21</f>
        <v>4.1714285714285717</v>
      </c>
      <c r="AY20" s="564">
        <f>吉田!BA21</f>
        <v>1.7</v>
      </c>
      <c r="AZ20" s="567">
        <f>吉田!BB21</f>
        <v>4.6428571428571432</v>
      </c>
      <c r="BA20" s="565">
        <f t="shared" si="1"/>
        <v>4.1731428571428575</v>
      </c>
      <c r="BB20" s="586">
        <f t="shared" si="2"/>
        <v>1.7155714285714283</v>
      </c>
      <c r="BC20" s="586">
        <f t="shared" si="3"/>
        <v>5.5625714285714274</v>
      </c>
      <c r="BD20" s="610">
        <f t="shared" si="4"/>
        <v>1.6901408450704222E-4</v>
      </c>
      <c r="BE20" s="610">
        <f t="shared" si="5"/>
        <v>1.0138248847926267E-3</v>
      </c>
      <c r="BF20" s="610">
        <f t="shared" si="6"/>
        <v>0.22857142857142856</v>
      </c>
      <c r="BG20" s="610">
        <f t="shared" si="7"/>
        <v>2.3043478260869571E-3</v>
      </c>
      <c r="BH20" s="610">
        <f t="shared" si="8"/>
        <v>0.21349206349206348</v>
      </c>
      <c r="BI20" s="610">
        <f t="shared" si="9"/>
        <v>4.3956043956043956E-3</v>
      </c>
      <c r="BJ20" s="610">
        <f t="shared" si="10"/>
        <v>7.2192827748383303E-3</v>
      </c>
      <c r="BK20" s="610">
        <f t="shared" si="11"/>
        <v>1.3928571428571429E-3</v>
      </c>
      <c r="BL20" s="610">
        <f t="shared" si="12"/>
        <v>0.22975426754072822</v>
      </c>
      <c r="BM20" s="610">
        <f t="shared" si="13"/>
        <v>0.22880415563145032</v>
      </c>
      <c r="BN20" s="611">
        <f t="shared" si="0"/>
        <v>1.0041525115951491</v>
      </c>
      <c r="BP20" s="564">
        <f t="shared" si="16"/>
        <v>15.085714285714285</v>
      </c>
      <c r="BQ20" s="564">
        <f t="shared" si="17"/>
        <v>8.1085714285714289E-2</v>
      </c>
      <c r="BR20" s="564">
        <f t="shared" si="18"/>
        <v>0.13250000000000003</v>
      </c>
      <c r="BS20" s="564">
        <f t="shared" si="19"/>
        <v>6.6742857142857153</v>
      </c>
      <c r="BT20" s="564">
        <f t="shared" si="20"/>
        <v>1.7</v>
      </c>
      <c r="BU20" s="564">
        <f t="shared" si="21"/>
        <v>0.16240042857142856</v>
      </c>
      <c r="BV20" s="564">
        <f t="shared" si="22"/>
        <v>2.2200000000000001E-2</v>
      </c>
      <c r="BW20" s="564">
        <f t="shared" si="23"/>
        <v>5.0074285714285703E-2</v>
      </c>
      <c r="BX20" s="564">
        <f t="shared" si="24"/>
        <v>2.3093714285714281E-3</v>
      </c>
      <c r="BY20" s="564">
        <f t="shared" si="14"/>
        <v>23.910569799999998</v>
      </c>
      <c r="BZ20" s="610">
        <f t="shared" si="15"/>
        <v>0.8969667127545552</v>
      </c>
      <c r="CB20" s="610">
        <f>吉田!CD21</f>
        <v>0.70890937882403637</v>
      </c>
      <c r="CC20" s="610">
        <f>吉田!CE21</f>
        <v>1.1222474421003832</v>
      </c>
      <c r="CD20" s="610">
        <f>吉田!CF21</f>
        <v>4.285714285714283E-2</v>
      </c>
      <c r="CE20" s="610">
        <f>吉田!CG21</f>
        <v>1.6727142857142856</v>
      </c>
      <c r="CG20" s="564">
        <v>35.646706586826348</v>
      </c>
    </row>
    <row r="21" spans="1:85" x14ac:dyDescent="0.2">
      <c r="A21" t="s">
        <v>602</v>
      </c>
      <c r="B21" s="567">
        <f>長野!D21</f>
        <v>19.214285714285715</v>
      </c>
      <c r="C21" s="619">
        <f>長野!E21</f>
        <v>1.5857142857142858E-2</v>
      </c>
      <c r="D21" s="564">
        <f>長野!F21</f>
        <v>0.11028571428571428</v>
      </c>
      <c r="E21" s="564">
        <f>長野!G21</f>
        <v>6.8428571428571425</v>
      </c>
      <c r="F21" s="610">
        <f>長野!H21</f>
        <v>5.3285714285714283E-2</v>
      </c>
      <c r="G21" s="564">
        <f>長野!I21</f>
        <v>2.3514285714285714</v>
      </c>
      <c r="H21" s="564">
        <f>長野!J21</f>
        <v>7.2714285714285731E-2</v>
      </c>
      <c r="I21" s="610">
        <f>長野!K21</f>
        <v>1.0528571428571427E-2</v>
      </c>
      <c r="J21" s="564">
        <f>長野!L21</f>
        <v>3.0857142857142857E-2</v>
      </c>
      <c r="K21" s="565">
        <f>長野!M21</f>
        <v>85</v>
      </c>
      <c r="L21" s="564">
        <f>長野!N21</f>
        <v>53.428571428571431</v>
      </c>
      <c r="M21" s="564" t="e">
        <f>長野!O21</f>
        <v>#DIV/0!</v>
      </c>
      <c r="N21" s="564">
        <f>長野!P21</f>
        <v>108.42857142857143</v>
      </c>
      <c r="O21" s="564">
        <f>長野!Q21</f>
        <v>45.857142857142854</v>
      </c>
      <c r="P21" s="564">
        <f>長野!R21</f>
        <v>1.0685714285714284E-2</v>
      </c>
      <c r="Q21" s="564">
        <f>長野!S21</f>
        <v>4.1714285714285717</v>
      </c>
      <c r="R21" s="564">
        <f>長野!T21</f>
        <v>2.922857142857143</v>
      </c>
      <c r="S21" s="564">
        <f>長野!U21</f>
        <v>1.0557142857142858</v>
      </c>
      <c r="T21" s="564">
        <f>長野!V21</f>
        <v>5.2714285714285722</v>
      </c>
      <c r="U21" s="564">
        <f>長野!W21</f>
        <v>63.285714285714285</v>
      </c>
      <c r="V21" s="564">
        <f>長野!X21</f>
        <v>4.6714285714285708E-2</v>
      </c>
      <c r="W21" s="564">
        <f>長野!Y21</f>
        <v>1.2142857142857142</v>
      </c>
      <c r="X21" s="564">
        <f>長野!Z21</f>
        <v>4.3999999999999995</v>
      </c>
      <c r="Y21" s="564">
        <f>長野!AA21</f>
        <v>26.985714285714288</v>
      </c>
      <c r="Z21" s="564">
        <f>長野!AB21</f>
        <v>1.3642857142857141</v>
      </c>
      <c r="AA21" s="564">
        <f>長野!AC21</f>
        <v>0.93714285714285717</v>
      </c>
      <c r="AB21" s="564">
        <f>長野!AD21</f>
        <v>0.27285714285714285</v>
      </c>
      <c r="AC21" s="564">
        <f>長野!AE21</f>
        <v>0.5714285714285714</v>
      </c>
      <c r="AD21" s="564">
        <f>長野!AF21</f>
        <v>1.1042857142857143</v>
      </c>
      <c r="AE21" s="564">
        <f>長野!AG21</f>
        <v>3.0142857142857141E-2</v>
      </c>
      <c r="AF21" s="564">
        <f>長野!AH21</f>
        <v>4.4000000000000004</v>
      </c>
      <c r="AG21" s="564">
        <f>長野!AI21</f>
        <v>4.8571428571428578E-2</v>
      </c>
      <c r="AH21" s="564">
        <f>長野!AJ21</f>
        <v>8.1571428571428559E-2</v>
      </c>
      <c r="AI21" s="564">
        <f>長野!AK21</f>
        <v>3.5428571428571432E-3</v>
      </c>
      <c r="AJ21" s="564">
        <f>長野!AL21</f>
        <v>9.6714285714285704E-3</v>
      </c>
      <c r="AK21" s="564">
        <f>長野!AM21</f>
        <v>0.17399999999999999</v>
      </c>
      <c r="AL21" s="564" t="e">
        <f>長野!AN21</f>
        <v>#DIV/0!</v>
      </c>
      <c r="AM21" s="564">
        <f>長野!AO21</f>
        <v>7.2000000000000007E-3</v>
      </c>
      <c r="AN21" s="564">
        <f>長野!AP21</f>
        <v>7.3571428571428568</v>
      </c>
      <c r="AO21" s="564">
        <f>長野!AQ21</f>
        <v>0.24842857142857144</v>
      </c>
      <c r="AP21" s="565">
        <f>長野!AR21</f>
        <v>1.342857142857143E-2</v>
      </c>
      <c r="AQ21" s="564">
        <f>長野!AS21</f>
        <v>0.65857142857142859</v>
      </c>
      <c r="AR21" s="564">
        <f>長野!AT21</f>
        <v>0.77571428571428569</v>
      </c>
      <c r="AS21" s="564">
        <f>長野!AU21</f>
        <v>0.2985714285714286</v>
      </c>
      <c r="AT21" s="564">
        <f>長野!AV21</f>
        <v>0.87714285714285711</v>
      </c>
      <c r="AU21" s="564">
        <f>長野!AW21</f>
        <v>1.2071428571428573</v>
      </c>
      <c r="AV21" s="564">
        <f>長野!AX21</f>
        <v>0.50142857142857145</v>
      </c>
      <c r="AW21" s="564">
        <f>長野!AY21</f>
        <v>0.11457142857142857</v>
      </c>
      <c r="AX21" s="565">
        <f>長野!AZ21</f>
        <v>2.6285714285714286</v>
      </c>
      <c r="AY21" s="564">
        <f>長野!BA21</f>
        <v>0.93285714285714272</v>
      </c>
      <c r="AZ21" s="567" t="e">
        <f>長野!BB21</f>
        <v>#DIV/0!</v>
      </c>
      <c r="BA21" s="565">
        <f t="shared" si="1"/>
        <v>2.6234285714285717</v>
      </c>
      <c r="BB21" s="586">
        <f t="shared" si="2"/>
        <v>0.94600000000000006</v>
      </c>
      <c r="BC21" s="586">
        <f t="shared" si="3"/>
        <v>6.1650428571428595</v>
      </c>
      <c r="BD21" s="610">
        <f t="shared" si="4"/>
        <v>4.4668008048289739E-4</v>
      </c>
      <c r="BE21" s="610">
        <f t="shared" si="5"/>
        <v>1.7788018433179723E-3</v>
      </c>
      <c r="BF21" s="610">
        <f t="shared" si="6"/>
        <v>0.1425595238095238</v>
      </c>
      <c r="BG21" s="610">
        <f t="shared" si="7"/>
        <v>2.3167701863354038E-3</v>
      </c>
      <c r="BH21" s="610">
        <f t="shared" si="8"/>
        <v>0.13063492063492063</v>
      </c>
      <c r="BI21" s="610">
        <f t="shared" si="9"/>
        <v>1.864468864468865E-3</v>
      </c>
      <c r="BJ21" s="610">
        <f t="shared" si="10"/>
        <v>8.6654908877131082E-4</v>
      </c>
      <c r="BK21" s="610">
        <f t="shared" si="11"/>
        <v>1.5428571428571429E-3</v>
      </c>
      <c r="BL21" s="610">
        <f t="shared" si="12"/>
        <v>0.14478500573332467</v>
      </c>
      <c r="BM21" s="610">
        <f t="shared" si="13"/>
        <v>0.13722556591735338</v>
      </c>
      <c r="BN21" s="611">
        <f t="shared" si="0"/>
        <v>1.0550876927738386</v>
      </c>
      <c r="BP21" s="564">
        <f t="shared" si="16"/>
        <v>9.4089285714285715</v>
      </c>
      <c r="BQ21" s="564">
        <f t="shared" si="17"/>
        <v>0.14226857142857141</v>
      </c>
      <c r="BR21" s="564">
        <f t="shared" si="18"/>
        <v>0.1332142857142857</v>
      </c>
      <c r="BS21" s="564">
        <f t="shared" si="19"/>
        <v>4.2057142857142855</v>
      </c>
      <c r="BT21" s="564">
        <f t="shared" si="20"/>
        <v>0.93285714285714272</v>
      </c>
      <c r="BU21" s="564">
        <f t="shared" si="21"/>
        <v>0.49100857142857146</v>
      </c>
      <c r="BV21" s="564">
        <f t="shared" si="22"/>
        <v>6.4199999999999993E-2</v>
      </c>
      <c r="BW21" s="564">
        <f t="shared" si="23"/>
        <v>8.7334285714285698E-2</v>
      </c>
      <c r="BX21" s="564">
        <f t="shared" si="24"/>
        <v>6.9662857142857139E-3</v>
      </c>
      <c r="BY21" s="564">
        <f t="shared" si="14"/>
        <v>15.472491999999999</v>
      </c>
      <c r="BZ21" s="610">
        <f t="shared" si="15"/>
        <v>0.8052598066914497</v>
      </c>
      <c r="CB21" s="610">
        <f>長野!CD21</f>
        <v>0.73132842396965192</v>
      </c>
      <c r="CC21" s="610"/>
      <c r="CD21" s="610">
        <f>長野!CF21</f>
        <v>0.33000000000000007</v>
      </c>
      <c r="CE21" s="610">
        <f>長野!CG21</f>
        <v>0.61599999999999999</v>
      </c>
      <c r="CG21" s="564">
        <v>35.554216867469883</v>
      </c>
    </row>
    <row r="22" spans="1:85" x14ac:dyDescent="0.2">
      <c r="A22" t="s">
        <v>603</v>
      </c>
      <c r="B22" s="567">
        <f>富士!D21</f>
        <v>28.171428571428574</v>
      </c>
      <c r="C22" s="619">
        <f>富士!E21</f>
        <v>3.3514285714285712E-2</v>
      </c>
      <c r="D22" s="564">
        <f>富士!F21</f>
        <v>3.2857142857142856E-2</v>
      </c>
      <c r="E22" s="564">
        <f>富士!G21</f>
        <v>12.257142857142856</v>
      </c>
      <c r="F22" s="610">
        <f>富士!H21</f>
        <v>0.21200000000000002</v>
      </c>
      <c r="G22" s="564">
        <f>富士!I21</f>
        <v>5.0142857142857142</v>
      </c>
      <c r="H22" s="564">
        <f>富士!J21</f>
        <v>7.6999999999999999E-2</v>
      </c>
      <c r="I22" s="610">
        <f>富士!K21</f>
        <v>3.1428571428571424E-2</v>
      </c>
      <c r="J22" s="564">
        <f>富士!L21</f>
        <v>9.4714285714285709E-2</v>
      </c>
      <c r="K22" s="565">
        <f>富士!M21</f>
        <v>280</v>
      </c>
      <c r="L22" s="564">
        <f>富士!N21</f>
        <v>36.571428571428569</v>
      </c>
      <c r="M22" s="564">
        <f>富士!O21</f>
        <v>33.428571428571431</v>
      </c>
      <c r="N22" s="564">
        <f>富士!P21</f>
        <v>150.42857142857142</v>
      </c>
      <c r="O22" s="564">
        <f>富士!Q21</f>
        <v>135.21428571428572</v>
      </c>
      <c r="P22" s="564">
        <f>富士!R21</f>
        <v>1.2499999999999999E-2</v>
      </c>
      <c r="Q22" s="564">
        <f>富士!S21</f>
        <v>2.6642857142857141</v>
      </c>
      <c r="R22" s="564">
        <f>富士!T21</f>
        <v>30.714285714285715</v>
      </c>
      <c r="S22" s="673">
        <f>富士!U21</f>
        <v>2.3142857142857136</v>
      </c>
      <c r="T22" s="564">
        <f>富士!V21</f>
        <v>4.757142857142858</v>
      </c>
      <c r="U22" s="564">
        <f>富士!W21</f>
        <v>74.428571428571431</v>
      </c>
      <c r="V22" s="564">
        <f>富士!X21</f>
        <v>9.3714285714285722E-2</v>
      </c>
      <c r="W22" s="564">
        <f>富士!Y21</f>
        <v>10.157142857142858</v>
      </c>
      <c r="X22" s="564">
        <f>富士!Z21</f>
        <v>4.9285714285714288</v>
      </c>
      <c r="Y22" s="564">
        <f>富士!AA21</f>
        <v>62.835714285714289</v>
      </c>
      <c r="Z22" s="564">
        <f>富士!AB21</f>
        <v>1.7671428571428571</v>
      </c>
      <c r="AA22" s="564">
        <f>富士!AC21</f>
        <v>1.8071428571428572</v>
      </c>
      <c r="AB22" s="564">
        <f>富士!AD21</f>
        <v>0.21399999999999997</v>
      </c>
      <c r="AC22" s="564">
        <f>富士!AE21</f>
        <v>0.75142857142857145</v>
      </c>
      <c r="AD22" s="564">
        <f>富士!AF21</f>
        <v>1.1585714285714286</v>
      </c>
      <c r="AE22" s="564">
        <f>富士!AG21</f>
        <v>5.9999999999999993E-3</v>
      </c>
      <c r="AF22" s="564">
        <f>富士!AH21</f>
        <v>4.0714285714285712</v>
      </c>
      <c r="AG22" s="564">
        <f>富士!AI21</f>
        <v>9.8285714285714282E-2</v>
      </c>
      <c r="AH22" s="564">
        <f>富士!AJ21</f>
        <v>0.12742857142857142</v>
      </c>
      <c r="AI22" s="564">
        <f>富士!AK21</f>
        <v>2.8500000000000005E-3</v>
      </c>
      <c r="AJ22" s="564">
        <f>富士!AL21</f>
        <v>2.5142857142857146E-3</v>
      </c>
      <c r="AK22" s="564">
        <f>富士!AM21</f>
        <v>0.13457142857142856</v>
      </c>
      <c r="AL22" s="564">
        <f>富士!AN21</f>
        <v>5.5000000000000003E-4</v>
      </c>
      <c r="AM22" s="564">
        <f>富士!AO21</f>
        <v>8.9999999999999993E-3</v>
      </c>
      <c r="AN22" s="564">
        <f>富士!AP21</f>
        <v>7.4685714285714289</v>
      </c>
      <c r="AO22" s="564">
        <f>富士!AQ21</f>
        <v>0.37285714285714283</v>
      </c>
      <c r="AP22" s="565">
        <f>富士!AR21</f>
        <v>8.0000000000000002E-3</v>
      </c>
      <c r="AQ22" s="564">
        <f>富士!AS21</f>
        <v>0.68285714285714294</v>
      </c>
      <c r="AR22" s="564">
        <f>富士!AT21</f>
        <v>0.55499999999999994</v>
      </c>
      <c r="AS22" s="564">
        <f>富士!AU21</f>
        <v>0.42142857142857143</v>
      </c>
      <c r="AT22" s="564">
        <f>富士!AV21</f>
        <v>0.7957142857142856</v>
      </c>
      <c r="AU22" s="564">
        <f>富士!AW21</f>
        <v>0.92285714285714293</v>
      </c>
      <c r="AV22" s="564">
        <f>富士!AX21</f>
        <v>1.3214285714285712</v>
      </c>
      <c r="AW22" s="564">
        <f>富士!AY21</f>
        <v>2.3999999999999997E-2</v>
      </c>
      <c r="AX22" s="565">
        <f>富士!AZ21</f>
        <v>2.4171428571428568</v>
      </c>
      <c r="AY22" s="564">
        <f>富士!BA21</f>
        <v>1.4514285714285715</v>
      </c>
      <c r="AZ22" s="567" t="e">
        <f>富士!BB21</f>
        <v>#DIV/0!</v>
      </c>
      <c r="BA22" s="565">
        <f t="shared" si="1"/>
        <v>2.4630000000000001</v>
      </c>
      <c r="BB22" s="586">
        <f t="shared" si="2"/>
        <v>1.4725714285714286</v>
      </c>
      <c r="BC22" s="586">
        <f t="shared" si="3"/>
        <v>6.5499142857142907</v>
      </c>
      <c r="BD22" s="610">
        <f t="shared" si="4"/>
        <v>9.4406438631790734E-4</v>
      </c>
      <c r="BE22" s="610">
        <f t="shared" si="5"/>
        <v>5.2995391705069124E-4</v>
      </c>
      <c r="BF22" s="610">
        <f t="shared" si="6"/>
        <v>0.25535714285714284</v>
      </c>
      <c r="BG22" s="610">
        <f t="shared" si="7"/>
        <v>9.2173913043478266E-3</v>
      </c>
      <c r="BH22" s="610">
        <f t="shared" si="8"/>
        <v>0.27857142857142858</v>
      </c>
      <c r="BI22" s="610">
        <f t="shared" si="9"/>
        <v>1.9743589743589744E-3</v>
      </c>
      <c r="BJ22" s="610">
        <f t="shared" si="10"/>
        <v>2.5867136978248084E-3</v>
      </c>
      <c r="BK22" s="610">
        <f t="shared" si="11"/>
        <v>4.7357142857142858E-3</v>
      </c>
      <c r="BL22" s="610">
        <f t="shared" si="12"/>
        <v>0.25683116116051141</v>
      </c>
      <c r="BM22" s="610">
        <f t="shared" si="13"/>
        <v>0.29708560683367452</v>
      </c>
      <c r="BN22" s="751">
        <f t="shared" si="0"/>
        <v>0.86450220156340374</v>
      </c>
      <c r="BP22" s="564">
        <f t="shared" si="16"/>
        <v>16.853571428571428</v>
      </c>
      <c r="BQ22" s="564">
        <f t="shared" si="17"/>
        <v>4.2385714285714284E-2</v>
      </c>
      <c r="BR22" s="564">
        <f t="shared" si="18"/>
        <v>0.53</v>
      </c>
      <c r="BS22" s="564">
        <f t="shared" si="19"/>
        <v>3.867428571428571</v>
      </c>
      <c r="BT22" s="564">
        <f t="shared" si="20"/>
        <v>1.4514285714285715</v>
      </c>
      <c r="BU22" s="564">
        <f t="shared" si="21"/>
        <v>0.33609142857142854</v>
      </c>
      <c r="BV22" s="564">
        <f t="shared" si="22"/>
        <v>0.18930000000000002</v>
      </c>
      <c r="BW22" s="564">
        <f t="shared" si="23"/>
        <v>0.10271142857142856</v>
      </c>
      <c r="BX22" s="564">
        <f t="shared" si="24"/>
        <v>4.4493571428571421E-3</v>
      </c>
      <c r="BY22" s="564">
        <f t="shared" si="14"/>
        <v>23.377366500000001</v>
      </c>
      <c r="BZ22" s="610">
        <f t="shared" si="15"/>
        <v>0.82982538286004048</v>
      </c>
      <c r="CB22" s="610">
        <f>富士!CD21</f>
        <v>0.5958456432140643</v>
      </c>
      <c r="CC22" s="610"/>
      <c r="CD22" s="610">
        <f>富士!CF21</f>
        <v>0.12714285714285714</v>
      </c>
      <c r="CE22" s="610">
        <f>富士!CG21</f>
        <v>1.3454285714285716</v>
      </c>
      <c r="CG22" s="564">
        <v>37.813664596273291</v>
      </c>
    </row>
    <row r="23" spans="1:85" x14ac:dyDescent="0.2">
      <c r="A23" t="s">
        <v>604</v>
      </c>
      <c r="B23" s="567">
        <f>湖西!D21</f>
        <v>27.800000000000004</v>
      </c>
      <c r="C23" s="619">
        <f>湖西!E21</f>
        <v>4.8142857142857145E-3</v>
      </c>
      <c r="D23" s="564">
        <f>湖西!F21</f>
        <v>4.7571428571428584E-2</v>
      </c>
      <c r="E23" s="564">
        <f>湖西!G21</f>
        <v>12.642857142857142</v>
      </c>
      <c r="F23" s="610">
        <f>湖西!H21</f>
        <v>6.9142857142857145E-2</v>
      </c>
      <c r="G23" s="564">
        <f>湖西!I21</f>
        <v>5.6571428571428566</v>
      </c>
      <c r="H23" s="564">
        <f>湖西!J21</f>
        <v>0.10571428571428569</v>
      </c>
      <c r="I23" s="610">
        <f>湖西!K21</f>
        <v>1.9E-2</v>
      </c>
      <c r="J23" s="564">
        <f>湖西!L21</f>
        <v>7.1999999999999995E-2</v>
      </c>
      <c r="K23" s="565">
        <f>湖西!M21</f>
        <v>130</v>
      </c>
      <c r="L23" s="564">
        <f>湖西!N21</f>
        <v>23.714285714285715</v>
      </c>
      <c r="M23" s="564">
        <f>湖西!O21</f>
        <v>32.857142857142854</v>
      </c>
      <c r="N23" s="564">
        <f>湖西!P21</f>
        <v>178.57142857142858</v>
      </c>
      <c r="O23" s="564">
        <f>湖西!Q21</f>
        <v>42</v>
      </c>
      <c r="P23" s="564">
        <f>湖西!R21</f>
        <v>1.2499999999999999E-2</v>
      </c>
      <c r="Q23" s="564">
        <f>湖西!S21</f>
        <v>2.5214285714285718</v>
      </c>
      <c r="R23" s="564">
        <f>湖西!T21</f>
        <v>20.271428571428572</v>
      </c>
      <c r="S23" s="564">
        <f>湖西!U21</f>
        <v>0.79428571428571426</v>
      </c>
      <c r="T23" s="564">
        <f>湖西!V21</f>
        <v>7.8142857142857149</v>
      </c>
      <c r="U23" s="564">
        <f>湖西!W21</f>
        <v>105.14285714285714</v>
      </c>
      <c r="V23" s="564">
        <f>湖西!X21</f>
        <v>9.799999999999999E-2</v>
      </c>
      <c r="W23" s="564">
        <f>湖西!Y21</f>
        <v>5.8142857142857149</v>
      </c>
      <c r="X23" s="564">
        <f>湖西!Z21</f>
        <v>5.7857142857142856</v>
      </c>
      <c r="Y23" s="564">
        <f>湖西!AA21</f>
        <v>73.428571428571431</v>
      </c>
      <c r="Z23" s="564">
        <f>湖西!AB21</f>
        <v>2.9714285714285711</v>
      </c>
      <c r="AA23" s="564">
        <f>湖西!AC21</f>
        <v>2.5428571428571423</v>
      </c>
      <c r="AB23" s="564">
        <f>湖西!AD21</f>
        <v>0.35285714285714287</v>
      </c>
      <c r="AC23" s="564">
        <f>湖西!AE21</f>
        <v>0.79428571428571426</v>
      </c>
      <c r="AD23" s="564">
        <f>湖西!AF21</f>
        <v>1.5171428571428571</v>
      </c>
      <c r="AE23" s="564">
        <f>湖西!AG21</f>
        <v>5.9999999999999993E-3</v>
      </c>
      <c r="AF23" s="564">
        <f>湖西!AH21</f>
        <v>4.7</v>
      </c>
      <c r="AG23" s="564">
        <f>湖西!AI21</f>
        <v>8.0714285714285725E-2</v>
      </c>
      <c r="AH23" s="564">
        <f>湖西!AJ21</f>
        <v>9.9714285714285728E-2</v>
      </c>
      <c r="AI23" s="564">
        <f>湖西!AK21</f>
        <v>2.8500000000000005E-3</v>
      </c>
      <c r="AJ23" s="564">
        <f>湖西!AL21</f>
        <v>1.2857142857142856E-3</v>
      </c>
      <c r="AK23" s="564">
        <f>湖西!AM21</f>
        <v>0.23435714285714287</v>
      </c>
      <c r="AL23" s="564">
        <f>湖西!AN21</f>
        <v>7.4999999999999991E-4</v>
      </c>
      <c r="AM23" s="564">
        <f>湖西!AO21</f>
        <v>8.9999999999999993E-3</v>
      </c>
      <c r="AN23" s="564">
        <f>湖西!AP21</f>
        <v>11.914285714285715</v>
      </c>
      <c r="AO23" s="564">
        <f>湖西!AQ21</f>
        <v>0.39999999999999997</v>
      </c>
      <c r="AP23" s="565">
        <f>湖西!AR21</f>
        <v>2.6499999999999999E-2</v>
      </c>
      <c r="AQ23" s="564">
        <f>湖西!AS21</f>
        <v>0.48285714285714293</v>
      </c>
      <c r="AR23" s="564">
        <f>湖西!AT21</f>
        <v>0.54714285714285715</v>
      </c>
      <c r="AS23" s="564">
        <f>湖西!AU21</f>
        <v>0.41571428571428576</v>
      </c>
      <c r="AT23" s="564">
        <f>湖西!AV21</f>
        <v>0.76142857142857145</v>
      </c>
      <c r="AU23" s="564">
        <f>湖西!AW21</f>
        <v>0.8542857142857142</v>
      </c>
      <c r="AV23" s="564">
        <f>湖西!AX21</f>
        <v>1.0457142857142858</v>
      </c>
      <c r="AW23" s="564">
        <f>湖西!AY21</f>
        <v>7.7142857142857135E-3</v>
      </c>
      <c r="AX23" s="565">
        <f>湖西!AZ21</f>
        <v>2.16</v>
      </c>
      <c r="AY23" s="564">
        <f>湖西!BA21</f>
        <v>1.1485714285714288</v>
      </c>
      <c r="AZ23" s="567" t="e">
        <f>湖西!BB21</f>
        <v>#DIV/0!</v>
      </c>
      <c r="BA23" s="565">
        <f t="shared" si="1"/>
        <v>2.2336428571428573</v>
      </c>
      <c r="BB23" s="586">
        <f t="shared" si="2"/>
        <v>1.1462857142857144</v>
      </c>
      <c r="BC23" s="586">
        <f t="shared" si="3"/>
        <v>5.8731857142857216</v>
      </c>
      <c r="BD23" s="610">
        <f t="shared" si="4"/>
        <v>1.3561368209255535E-4</v>
      </c>
      <c r="BE23" s="610">
        <f t="shared" si="5"/>
        <v>7.6728110599078362E-4</v>
      </c>
      <c r="BF23" s="610">
        <f t="shared" si="6"/>
        <v>0.26339285714285715</v>
      </c>
      <c r="BG23" s="610">
        <f t="shared" si="7"/>
        <v>3.0062111801242236E-3</v>
      </c>
      <c r="BH23" s="610">
        <f t="shared" si="8"/>
        <v>0.31428571428571428</v>
      </c>
      <c r="BI23" s="610">
        <f t="shared" si="9"/>
        <v>2.7106227106227102E-3</v>
      </c>
      <c r="BJ23" s="610">
        <f t="shared" si="10"/>
        <v>1.5637860082304525E-3</v>
      </c>
      <c r="BK23" s="610">
        <f t="shared" si="11"/>
        <v>3.5999999999999999E-3</v>
      </c>
      <c r="BL23" s="610">
        <f t="shared" si="12"/>
        <v>0.26429575193094051</v>
      </c>
      <c r="BM23" s="610">
        <f t="shared" si="13"/>
        <v>0.32516633418469165</v>
      </c>
      <c r="BN23" s="751">
        <f t="shared" si="0"/>
        <v>0.81280170837372978</v>
      </c>
      <c r="BP23" s="564">
        <f t="shared" si="16"/>
        <v>17.383928571428569</v>
      </c>
      <c r="BQ23" s="564">
        <f t="shared" si="17"/>
        <v>6.1367142857142877E-2</v>
      </c>
      <c r="BR23" s="564">
        <f t="shared" si="18"/>
        <v>0.17285714285714288</v>
      </c>
      <c r="BS23" s="564">
        <f t="shared" si="19"/>
        <v>3.4560000000000004</v>
      </c>
      <c r="BT23" s="564">
        <f t="shared" si="20"/>
        <v>1.1485714285714288</v>
      </c>
      <c r="BU23" s="564">
        <f t="shared" si="21"/>
        <v>0.21793428571428572</v>
      </c>
      <c r="BV23" s="564">
        <f t="shared" si="22"/>
        <v>5.8799999999999998E-2</v>
      </c>
      <c r="BW23" s="564">
        <f t="shared" si="23"/>
        <v>0.14509714285714284</v>
      </c>
      <c r="BX23" s="564">
        <f t="shared" si="24"/>
        <v>4.2107857142857147E-3</v>
      </c>
      <c r="BY23" s="564">
        <f t="shared" si="14"/>
        <v>22.648766500000001</v>
      </c>
      <c r="BZ23" s="610">
        <f t="shared" si="15"/>
        <v>0.81470383093525167</v>
      </c>
      <c r="CB23" s="610">
        <f>湖西!CD21</f>
        <v>0.64527597871062914</v>
      </c>
      <c r="CC23" s="610"/>
      <c r="CD23" s="610">
        <f>湖西!CF21</f>
        <v>9.7142857142857128E-2</v>
      </c>
      <c r="CE23" s="610">
        <f>湖西!CG21</f>
        <v>1.0491428571428572</v>
      </c>
      <c r="CG23" s="564">
        <v>48.614906832298139</v>
      </c>
    </row>
    <row r="24" spans="1:85" x14ac:dyDescent="0.2">
      <c r="A24" t="s">
        <v>605</v>
      </c>
      <c r="B24" s="567">
        <f>静岡!D21</f>
        <v>26.942857142857143</v>
      </c>
      <c r="C24" s="619">
        <f>静岡!E21</f>
        <v>5.5E-2</v>
      </c>
      <c r="D24" s="564">
        <f>静岡!F21</f>
        <v>8.4142857142857158E-2</v>
      </c>
      <c r="E24" s="564">
        <f>静岡!G21</f>
        <v>10.1</v>
      </c>
      <c r="F24" s="610">
        <f>静岡!H21</f>
        <v>0.14071428571428574</v>
      </c>
      <c r="G24" s="564">
        <f>静岡!I21</f>
        <v>4.2857142857142856</v>
      </c>
      <c r="H24" s="564">
        <f>静岡!J21</f>
        <v>0.13914285714285715</v>
      </c>
      <c r="I24" s="610">
        <f>静岡!K21</f>
        <v>1.3399999999999999E-2</v>
      </c>
      <c r="J24" s="564">
        <f>静岡!L21</f>
        <v>3.4000000000000002E-2</v>
      </c>
      <c r="K24" s="565">
        <f>静岡!M21</f>
        <v>237.85714285714286</v>
      </c>
      <c r="L24" s="564">
        <f>静岡!N21</f>
        <v>12.414285714285715</v>
      </c>
      <c r="M24" s="564">
        <f>静岡!O21</f>
        <v>21.571428571428573</v>
      </c>
      <c r="N24" s="564">
        <f>静岡!P21</f>
        <v>177.85714285714286</v>
      </c>
      <c r="O24" s="564">
        <f>静岡!Q21</f>
        <v>97.285714285714292</v>
      </c>
      <c r="P24" s="564">
        <f>静岡!R21</f>
        <v>4.5999999999999999E-3</v>
      </c>
      <c r="Q24" s="564">
        <f>静岡!S21</f>
        <v>1.0471428571428572</v>
      </c>
      <c r="R24" s="564">
        <f>静岡!T21</f>
        <v>12.442857142857141</v>
      </c>
      <c r="S24" s="564">
        <f>静岡!U21</f>
        <v>1.4528571428571428</v>
      </c>
      <c r="T24" s="564">
        <f>静岡!V21</f>
        <v>4.3285714285714283</v>
      </c>
      <c r="U24" s="564">
        <f>静岡!W21</f>
        <v>38</v>
      </c>
      <c r="V24" s="564">
        <f>静岡!X21</f>
        <v>6.3285714285714292E-2</v>
      </c>
      <c r="W24" s="564">
        <f>静岡!Y21</f>
        <v>3.8714285714285714</v>
      </c>
      <c r="X24" s="564">
        <f>静岡!Z21</f>
        <v>3.7571428571428567</v>
      </c>
      <c r="Y24" s="564">
        <f>静岡!AA21</f>
        <v>43.642857142857146</v>
      </c>
      <c r="Z24" s="564">
        <f>静岡!AB21</f>
        <v>1.4100000000000001</v>
      </c>
      <c r="AA24" s="564">
        <f>静岡!AC21</f>
        <v>1.2071428571428571</v>
      </c>
      <c r="AB24" s="564">
        <f>静岡!AD21</f>
        <v>0.2247142857142857</v>
      </c>
      <c r="AC24" s="564">
        <f>静岡!AE21</f>
        <v>0.62857142857142867</v>
      </c>
      <c r="AD24" s="564">
        <f>静岡!AF21</f>
        <v>0.93</v>
      </c>
      <c r="AE24" s="564">
        <f>静岡!AG21</f>
        <v>2.9999999999999996E-3</v>
      </c>
      <c r="AF24" s="564">
        <f>静岡!AH21</f>
        <v>5.4428571428571431</v>
      </c>
      <c r="AG24" s="564">
        <f>静岡!AI21</f>
        <v>5.671428571428571E-2</v>
      </c>
      <c r="AH24" s="564">
        <f>静岡!AJ21</f>
        <v>6.3142857142857139E-2</v>
      </c>
      <c r="AI24" s="564">
        <f>静岡!AK21</f>
        <v>5.9999999999999993E-3</v>
      </c>
      <c r="AJ24" s="564">
        <f>静岡!AL21</f>
        <v>5.8571428571428576E-4</v>
      </c>
      <c r="AK24" s="564">
        <f>静岡!AM21</f>
        <v>0.19571428571428573</v>
      </c>
      <c r="AL24" s="564">
        <f>静岡!AN21</f>
        <v>8.0000000000000015E-4</v>
      </c>
      <c r="AM24" s="564">
        <f>静岡!AO21</f>
        <v>5.6571428571428571E-4</v>
      </c>
      <c r="AN24" s="564">
        <f>静岡!AP21</f>
        <v>6.0714285714285712</v>
      </c>
      <c r="AO24" s="564" t="e">
        <f>静岡!AQ21</f>
        <v>#DIV/0!</v>
      </c>
      <c r="AP24" s="565">
        <f>静岡!AR21</f>
        <v>1.2999999999999999E-2</v>
      </c>
      <c r="AQ24" s="564">
        <f>静岡!AS21</f>
        <v>1.2485714285714287</v>
      </c>
      <c r="AR24" s="564">
        <f>静岡!AT21</f>
        <v>0.80428571428571427</v>
      </c>
      <c r="AS24" s="564">
        <f>静岡!AU21</f>
        <v>0.6</v>
      </c>
      <c r="AT24" s="564">
        <f>静岡!AV21</f>
        <v>1.1028571428571428</v>
      </c>
      <c r="AU24" s="564">
        <f>静岡!AW21</f>
        <v>1.1971428571428571</v>
      </c>
      <c r="AV24" s="564">
        <f>静岡!AX21</f>
        <v>1.3585714285714288</v>
      </c>
      <c r="AW24" s="564">
        <f>静岡!AY21</f>
        <v>2.3857142857142858E-2</v>
      </c>
      <c r="AX24" s="565">
        <f>静岡!AZ21</f>
        <v>3.7428571428571429</v>
      </c>
      <c r="AY24" s="564">
        <f>静岡!BA21</f>
        <v>1.4657142857142857</v>
      </c>
      <c r="AZ24" s="567">
        <f>静岡!BB21</f>
        <v>3.6285714285714286</v>
      </c>
      <c r="BA24" s="565">
        <f t="shared" si="1"/>
        <v>3.7687142857142857</v>
      </c>
      <c r="BB24" s="586">
        <f t="shared" si="2"/>
        <v>1.4767142857142863</v>
      </c>
      <c r="BC24" s="586">
        <f t="shared" si="3"/>
        <v>6.8821714285714286</v>
      </c>
      <c r="BD24" s="610">
        <f t="shared" si="4"/>
        <v>1.5492957746478873E-3</v>
      </c>
      <c r="BE24" s="610">
        <f t="shared" si="5"/>
        <v>1.3571428571428573E-3</v>
      </c>
      <c r="BF24" s="610">
        <f t="shared" si="6"/>
        <v>0.21041666666666667</v>
      </c>
      <c r="BG24" s="610">
        <f t="shared" si="7"/>
        <v>6.1180124223602491E-3</v>
      </c>
      <c r="BH24" s="610">
        <f t="shared" si="8"/>
        <v>0.23809523809523808</v>
      </c>
      <c r="BI24" s="610">
        <f t="shared" si="9"/>
        <v>3.5677655677655682E-3</v>
      </c>
      <c r="BJ24" s="610">
        <f t="shared" si="10"/>
        <v>1.1028806584362138E-3</v>
      </c>
      <c r="BK24" s="610">
        <f t="shared" si="11"/>
        <v>1.7000000000000001E-3</v>
      </c>
      <c r="BL24" s="610">
        <f t="shared" si="12"/>
        <v>0.21332310529845741</v>
      </c>
      <c r="BM24" s="610">
        <f t="shared" si="13"/>
        <v>0.25058389674380011</v>
      </c>
      <c r="BN24" s="751">
        <f t="shared" si="0"/>
        <v>0.8513041263643587</v>
      </c>
      <c r="BP24" s="564">
        <f t="shared" si="16"/>
        <v>13.887499999999999</v>
      </c>
      <c r="BQ24" s="564">
        <f t="shared" si="17"/>
        <v>0.10854428571428573</v>
      </c>
      <c r="BR24" s="564">
        <f t="shared" si="18"/>
        <v>0.35178571428571437</v>
      </c>
      <c r="BS24" s="564">
        <f t="shared" si="19"/>
        <v>5.9885714285714293</v>
      </c>
      <c r="BT24" s="564">
        <f t="shared" si="20"/>
        <v>1.4657142857142857</v>
      </c>
      <c r="BU24" s="564">
        <f t="shared" si="21"/>
        <v>0.11408728571428572</v>
      </c>
      <c r="BV24" s="564">
        <f t="shared" si="22"/>
        <v>0.13620000000000002</v>
      </c>
      <c r="BW24" s="564">
        <f t="shared" si="23"/>
        <v>5.2439999999999994E-2</v>
      </c>
      <c r="BX24" s="564">
        <f t="shared" si="24"/>
        <v>1.7487285714285713E-3</v>
      </c>
      <c r="BY24" s="564">
        <f t="shared" si="14"/>
        <v>22.106591728571427</v>
      </c>
      <c r="BZ24" s="610">
        <f t="shared" si="15"/>
        <v>0.82049916277836688</v>
      </c>
      <c r="CB24" s="610">
        <f>静岡!CD21</f>
        <v>0.72281927477322838</v>
      </c>
      <c r="CC24" s="610">
        <f>静岡!CE21</f>
        <v>0.95948621004523404</v>
      </c>
      <c r="CD24" s="610">
        <f>静岡!CF21</f>
        <v>9.4285714285714334E-2</v>
      </c>
      <c r="CE24" s="610">
        <f>静岡!CG21</f>
        <v>1.3824285714285713</v>
      </c>
      <c r="CG24" s="564">
        <v>33.534161490683232</v>
      </c>
    </row>
    <row r="25" spans="1:85" s="568" customFormat="1" x14ac:dyDescent="0.2">
      <c r="A25" s="568" t="s">
        <v>606</v>
      </c>
      <c r="B25" s="752">
        <f>浜松!D21</f>
        <v>27.528571428571428</v>
      </c>
      <c r="C25" s="753">
        <f>浜松!E21</f>
        <v>1.67E-2</v>
      </c>
      <c r="D25" s="677">
        <f>浜松!F21</f>
        <v>0.17842857142857141</v>
      </c>
      <c r="E25" s="677">
        <f>浜松!G21</f>
        <v>9.4857142857142858</v>
      </c>
      <c r="F25" s="754">
        <f>浜松!H21</f>
        <v>0.13599999999999998</v>
      </c>
      <c r="G25" s="677">
        <f>浜松!I21</f>
        <v>3.7142857142857144</v>
      </c>
      <c r="H25" s="677">
        <f>浜松!J21</f>
        <v>0.11085714285714286</v>
      </c>
      <c r="I25" s="754">
        <f>浜松!K21</f>
        <v>1.2457142857142856E-2</v>
      </c>
      <c r="J25" s="677">
        <f>浜松!L21</f>
        <v>5.9142857142857143E-2</v>
      </c>
      <c r="K25" s="755">
        <f>浜松!M21</f>
        <v>77.285714285714292</v>
      </c>
      <c r="L25" s="677">
        <f>浜松!N21</f>
        <v>18</v>
      </c>
      <c r="M25" s="677" t="e">
        <f>浜松!O21</f>
        <v>#DIV/0!</v>
      </c>
      <c r="N25" s="677">
        <f>浜松!P21</f>
        <v>70.071428571428569</v>
      </c>
      <c r="O25" s="677">
        <f>浜松!Q21</f>
        <v>21.428571428571427</v>
      </c>
      <c r="P25" s="677">
        <f>浜松!R21</f>
        <v>7</v>
      </c>
      <c r="Q25" s="677">
        <f>浜松!S21</f>
        <v>2.9785714285714282</v>
      </c>
      <c r="R25" s="677">
        <f>浜松!T21</f>
        <v>8.9285714285714288</v>
      </c>
      <c r="S25" s="677">
        <f>浜松!U21</f>
        <v>0.51928571428571435</v>
      </c>
      <c r="T25" s="677">
        <f>浜松!V21</f>
        <v>3.5314285714285716</v>
      </c>
      <c r="U25" s="677">
        <f>浜松!W21</f>
        <v>23.614285714285717</v>
      </c>
      <c r="V25" s="677">
        <f>浜松!X21</f>
        <v>4.5999999999999999E-2</v>
      </c>
      <c r="W25" s="677">
        <f>浜松!Y21</f>
        <v>2.6585714285714284</v>
      </c>
      <c r="X25" s="677">
        <f>浜松!Z21</f>
        <v>2.75</v>
      </c>
      <c r="Y25" s="677">
        <f>浜松!AA21</f>
        <v>23.228571428571428</v>
      </c>
      <c r="Z25" s="677">
        <f>浜松!AB21</f>
        <v>1.0985714285714285</v>
      </c>
      <c r="AA25" s="677">
        <f>浜松!AC21</f>
        <v>0.74214285714285722</v>
      </c>
      <c r="AB25" s="677">
        <f>浜松!AD21</f>
        <v>0.21028571428571427</v>
      </c>
      <c r="AC25" s="677">
        <f>浜松!AE21</f>
        <v>1.75</v>
      </c>
      <c r="AD25" s="677">
        <f>浜松!AF21</f>
        <v>0.69000000000000006</v>
      </c>
      <c r="AE25" s="677">
        <f>浜松!AG21</f>
        <v>3.2185714285714283E-2</v>
      </c>
      <c r="AF25" s="677">
        <f>浜松!AH21</f>
        <v>3.4200000000000004</v>
      </c>
      <c r="AG25" s="677">
        <f>浜松!AI21</f>
        <v>5.3085714285714292E-2</v>
      </c>
      <c r="AH25" s="677">
        <f>浜松!AJ21</f>
        <v>8.2714285714285726E-2</v>
      </c>
      <c r="AI25" s="677">
        <f>浜松!AK21</f>
        <v>3.2857142857142855E-3</v>
      </c>
      <c r="AJ25" s="677">
        <f>浜松!AL21</f>
        <v>8.0000000000000002E-3</v>
      </c>
      <c r="AK25" s="677">
        <f>浜松!AM21</f>
        <v>0.3392857142857143</v>
      </c>
      <c r="AL25" s="677">
        <f>浜松!AN21</f>
        <v>1.95E-2</v>
      </c>
      <c r="AM25" s="677">
        <f>浜松!AO21</f>
        <v>2.8500000000000005E-3</v>
      </c>
      <c r="AN25" s="677">
        <f>浜松!AP21</f>
        <v>4.927142857142857</v>
      </c>
      <c r="AO25" s="677" t="e">
        <f>浜松!AQ21</f>
        <v>#DIV/0!</v>
      </c>
      <c r="AP25" s="755">
        <f>浜松!AR21</f>
        <v>2.75E-2</v>
      </c>
      <c r="AQ25" s="677">
        <f>浜松!AS21</f>
        <v>1.1828571428571428</v>
      </c>
      <c r="AR25" s="677">
        <f>浜松!AT21</f>
        <v>0.76714285714285713</v>
      </c>
      <c r="AS25" s="677">
        <f>浜松!AU21</f>
        <v>0.53714285714285714</v>
      </c>
      <c r="AT25" s="677">
        <f>浜松!AV21</f>
        <v>1.0242857142857142</v>
      </c>
      <c r="AU25" s="677">
        <f>浜松!AW21</f>
        <v>1.0771428571428572</v>
      </c>
      <c r="AV25" s="677">
        <f>浜松!AX21</f>
        <v>1.2557142857142856</v>
      </c>
      <c r="AW25" s="677">
        <f>浜松!AY21</f>
        <v>2.0571428571428574E-2</v>
      </c>
      <c r="AX25" s="755">
        <f>浜松!AZ21</f>
        <v>3.5142857142857147</v>
      </c>
      <c r="AY25" s="677">
        <f>浜松!BA21</f>
        <v>1.3114285714285714</v>
      </c>
      <c r="AZ25" s="752" t="e">
        <f>浜松!BB21</f>
        <v>#DIV/0!</v>
      </c>
      <c r="BA25" s="755">
        <f t="shared" si="1"/>
        <v>3.5389285714285714</v>
      </c>
      <c r="BB25" s="756">
        <f t="shared" si="2"/>
        <v>1.329142857142857</v>
      </c>
      <c r="BC25" s="756">
        <f t="shared" si="3"/>
        <v>8.9892714285714277</v>
      </c>
      <c r="BD25" s="754">
        <f t="shared" si="4"/>
        <v>4.7042253521126757E-4</v>
      </c>
      <c r="BE25" s="754">
        <f t="shared" si="5"/>
        <v>2.877880184331797E-3</v>
      </c>
      <c r="BF25" s="754">
        <f t="shared" si="6"/>
        <v>0.19761904761904761</v>
      </c>
      <c r="BG25" s="754">
        <f t="shared" si="7"/>
        <v>5.913043478260869E-3</v>
      </c>
      <c r="BH25" s="754">
        <f t="shared" si="8"/>
        <v>0.20634920634920637</v>
      </c>
      <c r="BI25" s="754">
        <f t="shared" si="9"/>
        <v>2.8424908424908427E-3</v>
      </c>
      <c r="BJ25" s="754">
        <f t="shared" si="10"/>
        <v>1.0252792475014697E-3</v>
      </c>
      <c r="BK25" s="754">
        <f t="shared" si="11"/>
        <v>2.957142857142857E-3</v>
      </c>
      <c r="BL25" s="754">
        <f t="shared" si="12"/>
        <v>0.20096735033859067</v>
      </c>
      <c r="BM25" s="754">
        <f t="shared" si="13"/>
        <v>0.21908716277460241</v>
      </c>
      <c r="BN25" s="757">
        <f t="shared" si="0"/>
        <v>0.91729404769071998</v>
      </c>
      <c r="BP25" s="677">
        <f t="shared" si="16"/>
        <v>13.042857142857143</v>
      </c>
      <c r="BQ25" s="677">
        <f t="shared" si="17"/>
        <v>0.23017285714285712</v>
      </c>
      <c r="BR25" s="677">
        <f t="shared" si="18"/>
        <v>0.33999999999999997</v>
      </c>
      <c r="BS25" s="677">
        <f t="shared" si="19"/>
        <v>5.6228571428571437</v>
      </c>
      <c r="BT25" s="677">
        <f t="shared" si="20"/>
        <v>1.3114285714285714</v>
      </c>
      <c r="BU25" s="677">
        <f t="shared" si="21"/>
        <v>0.16542000000000001</v>
      </c>
      <c r="BV25" s="677">
        <f t="shared" si="22"/>
        <v>0.03</v>
      </c>
      <c r="BW25" s="677">
        <f t="shared" si="23"/>
        <v>3.2587714285714282E-2</v>
      </c>
      <c r="BX25" s="677">
        <f t="shared" si="24"/>
        <v>4.9742142857142849E-3</v>
      </c>
      <c r="BY25" s="677">
        <f t="shared" si="14"/>
        <v>20.780297642857146</v>
      </c>
      <c r="BZ25" s="758">
        <f t="shared" si="15"/>
        <v>0.75486291385573445</v>
      </c>
      <c r="CB25" s="754">
        <f>浜松!CD21</f>
        <v>0.73502524254888513</v>
      </c>
      <c r="CC25" s="754"/>
      <c r="CD25" s="754">
        <f>浜松!CF21</f>
        <v>5.4285714285714305E-2</v>
      </c>
      <c r="CE25" s="754">
        <f>浜松!CG21</f>
        <v>1.2748571428571427</v>
      </c>
      <c r="CG25" s="677">
        <v>44.892215568862277</v>
      </c>
    </row>
    <row r="26" spans="1:85" s="759" customFormat="1" x14ac:dyDescent="0.2"/>
    <row r="27" spans="1:85" x14ac:dyDescent="0.2">
      <c r="B27" s="587">
        <f>土浦!D12</f>
        <v>23.2</v>
      </c>
      <c r="BL27" s="679">
        <f>土浦!BN12</f>
        <v>173.97478418900499</v>
      </c>
      <c r="BM27" s="679">
        <f>土浦!BO12</f>
        <v>207.53095847612758</v>
      </c>
      <c r="BN27" s="611">
        <f t="shared" ref="BN27:BN90" si="25">BL27/BM27</f>
        <v>0.83830762150610616</v>
      </c>
      <c r="BY27" s="587">
        <f>土浦!CA12</f>
        <v>20.191559000000005</v>
      </c>
      <c r="BZ27" s="611">
        <f t="shared" ref="BZ27:BZ90" si="26">BY27/B27</f>
        <v>0.87032581896551753</v>
      </c>
    </row>
    <row r="28" spans="1:85" x14ac:dyDescent="0.2">
      <c r="B28" s="587">
        <f>土浦!D13</f>
        <v>27.9</v>
      </c>
      <c r="BL28" s="679">
        <f>土浦!BN13</f>
        <v>201.12766166893837</v>
      </c>
      <c r="BM28" s="679">
        <f>土浦!BO13</f>
        <v>223.89789765611025</v>
      </c>
      <c r="BN28" s="611">
        <f t="shared" si="25"/>
        <v>0.89830080485103447</v>
      </c>
      <c r="BY28" s="587">
        <f>土浦!CA13</f>
        <v>23.116979000000001</v>
      </c>
      <c r="BZ28" s="611">
        <f t="shared" si="26"/>
        <v>0.82856555555555567</v>
      </c>
    </row>
    <row r="29" spans="1:85" x14ac:dyDescent="0.2">
      <c r="B29" s="587">
        <f>土浦!D14</f>
        <v>19.600000000000001</v>
      </c>
      <c r="BL29" s="679">
        <f>土浦!BN14</f>
        <v>134.08885355141604</v>
      </c>
      <c r="BM29" s="679">
        <f>土浦!BO14</f>
        <v>150.07689210950082</v>
      </c>
      <c r="BN29" s="611">
        <f t="shared" si="25"/>
        <v>0.89346768624166728</v>
      </c>
      <c r="BY29" s="587">
        <f>土浦!CA14</f>
        <v>17.125929000000003</v>
      </c>
      <c r="BZ29" s="611">
        <f t="shared" si="26"/>
        <v>0.87377188775510217</v>
      </c>
    </row>
    <row r="30" spans="1:85" x14ac:dyDescent="0.2">
      <c r="B30" s="587">
        <f>土浦!D15</f>
        <v>20.5</v>
      </c>
      <c r="BL30" s="679">
        <f>土浦!BN15</f>
        <v>155.66347114947752</v>
      </c>
      <c r="BM30" s="679">
        <f>土浦!BO15</f>
        <v>152.1057640695322</v>
      </c>
      <c r="BN30" s="611">
        <f t="shared" si="25"/>
        <v>1.0233896927030259</v>
      </c>
      <c r="BY30" s="587">
        <f>土浦!CA15</f>
        <v>18.629570000000001</v>
      </c>
      <c r="BZ30" s="611">
        <f t="shared" si="26"/>
        <v>0.90875951219512197</v>
      </c>
    </row>
    <row r="31" spans="1:85" x14ac:dyDescent="0.2">
      <c r="B31" s="587">
        <f>土浦!D16</f>
        <v>30.8</v>
      </c>
      <c r="BL31" s="679">
        <f>土浦!BN16</f>
        <v>232.44881114644858</v>
      </c>
      <c r="BM31" s="679">
        <f>土浦!BO16</f>
        <v>252.3431912960898</v>
      </c>
      <c r="BN31" s="611">
        <f t="shared" si="25"/>
        <v>0.92116141494660764</v>
      </c>
      <c r="BY31" s="587">
        <f>土浦!CA16</f>
        <v>24.541490000000003</v>
      </c>
      <c r="BZ31" s="611">
        <f t="shared" si="26"/>
        <v>0.79680162337662341</v>
      </c>
    </row>
    <row r="32" spans="1:85" x14ac:dyDescent="0.2">
      <c r="B32" s="587">
        <f>土浦!D17</f>
        <v>38.5</v>
      </c>
      <c r="BL32" s="679">
        <f>土浦!BN17</f>
        <v>356.67616235044682</v>
      </c>
      <c r="BM32" s="679">
        <f>土浦!BO17</f>
        <v>343.69834083433113</v>
      </c>
      <c r="BN32" s="611">
        <f t="shared" si="25"/>
        <v>1.0377593371111768</v>
      </c>
      <c r="BY32" s="587">
        <f>土浦!CA17</f>
        <v>31.988358999999999</v>
      </c>
      <c r="BZ32" s="611">
        <f t="shared" si="26"/>
        <v>0.83086646753246751</v>
      </c>
    </row>
    <row r="33" spans="2:78" x14ac:dyDescent="0.2">
      <c r="B33" s="677">
        <f>土浦!D18</f>
        <v>28.5</v>
      </c>
      <c r="BL33" s="680">
        <f>土浦!BN18</f>
        <v>229.77089201877934</v>
      </c>
      <c r="BM33" s="680">
        <f>土浦!BO18</f>
        <v>237.26471709539337</v>
      </c>
      <c r="BN33" s="611">
        <f t="shared" si="25"/>
        <v>0.9684157629151362</v>
      </c>
      <c r="BY33" s="677">
        <f>土浦!CA18</f>
        <v>23.934128999999999</v>
      </c>
      <c r="BZ33" s="611">
        <f t="shared" si="26"/>
        <v>0.83979399999999993</v>
      </c>
    </row>
    <row r="34" spans="2:78" x14ac:dyDescent="0.2">
      <c r="B34" s="678">
        <f>真岡!D12</f>
        <v>17.8</v>
      </c>
      <c r="BL34" s="681">
        <f>真岡!BO12</f>
        <v>128.06523549901561</v>
      </c>
      <c r="BM34" s="681">
        <f>真岡!BP12</f>
        <v>132.56999256781862</v>
      </c>
      <c r="BN34" s="611">
        <f t="shared" si="25"/>
        <v>0.96601978334955019</v>
      </c>
      <c r="BY34" s="678">
        <f>真岡!CB12</f>
        <v>16.879980000000003</v>
      </c>
      <c r="BZ34" s="611">
        <f t="shared" si="26"/>
        <v>0.94831348314606756</v>
      </c>
    </row>
    <row r="35" spans="2:78" x14ac:dyDescent="0.2">
      <c r="B35" s="587">
        <f>真岡!D13</f>
        <v>26.9</v>
      </c>
      <c r="BL35" s="679">
        <f>真岡!BO13</f>
        <v>185.75340754202634</v>
      </c>
      <c r="BM35" s="679">
        <f>真岡!BP13</f>
        <v>187.58700400511992</v>
      </c>
      <c r="BN35" s="611">
        <f t="shared" si="25"/>
        <v>0.99022535450780191</v>
      </c>
      <c r="BY35" s="587">
        <f>真岡!CB13</f>
        <v>22.155518999999998</v>
      </c>
      <c r="BZ35" s="611">
        <f t="shared" si="26"/>
        <v>0.82362524163568773</v>
      </c>
    </row>
    <row r="36" spans="2:78" x14ac:dyDescent="0.2">
      <c r="B36" s="587">
        <f>真岡!D14</f>
        <v>16.5</v>
      </c>
      <c r="BL36" s="679">
        <f>真岡!BO14</f>
        <v>106.73459033772528</v>
      </c>
      <c r="BM36" s="679">
        <f>真岡!BP14</f>
        <v>112.2158353634199</v>
      </c>
      <c r="BN36" s="611">
        <f t="shared" si="25"/>
        <v>0.95115444261549031</v>
      </c>
      <c r="BY36" s="587">
        <f>真岡!CB14</f>
        <v>14.422229500000002</v>
      </c>
      <c r="BZ36" s="611">
        <f t="shared" si="26"/>
        <v>0.87407451515151524</v>
      </c>
    </row>
    <row r="37" spans="2:78" x14ac:dyDescent="0.2">
      <c r="B37" s="587">
        <f>真岡!D15</f>
        <v>17.100000000000001</v>
      </c>
      <c r="BL37" s="679">
        <f>真岡!BO15</f>
        <v>130.412009692564</v>
      </c>
      <c r="BM37" s="679">
        <f>真岡!BP15</f>
        <v>128.04159200077075</v>
      </c>
      <c r="BN37" s="611">
        <f t="shared" si="25"/>
        <v>1.0185128726904535</v>
      </c>
      <c r="BY37" s="587">
        <f>真岡!CB15</f>
        <v>16.617695000000001</v>
      </c>
      <c r="BZ37" s="611">
        <f t="shared" si="26"/>
        <v>0.97179502923976602</v>
      </c>
    </row>
    <row r="38" spans="2:78" x14ac:dyDescent="0.2">
      <c r="B38" s="587">
        <f>真岡!D16</f>
        <v>23.1</v>
      </c>
      <c r="BL38" s="679">
        <f>真岡!BO16</f>
        <v>180.92813872482205</v>
      </c>
      <c r="BM38" s="679">
        <f>真岡!BP16</f>
        <v>182.46654761413211</v>
      </c>
      <c r="BN38" s="611">
        <f t="shared" si="25"/>
        <v>0.99156881680819986</v>
      </c>
      <c r="BY38" s="587">
        <f>真岡!CB16</f>
        <v>21.097029999999997</v>
      </c>
      <c r="BZ38" s="611">
        <f t="shared" si="26"/>
        <v>0.91329134199134177</v>
      </c>
    </row>
    <row r="39" spans="2:78" x14ac:dyDescent="0.2">
      <c r="B39" s="587">
        <f>真岡!D17</f>
        <v>38.200000000000003</v>
      </c>
      <c r="BL39" s="679">
        <f>真岡!BO17</f>
        <v>357.05717098288659</v>
      </c>
      <c r="BM39" s="679">
        <f>真岡!BP17</f>
        <v>359.83851452716186</v>
      </c>
      <c r="BN39" s="611">
        <f t="shared" si="25"/>
        <v>0.99227057851789424</v>
      </c>
      <c r="BY39" s="587">
        <f>真岡!CB17</f>
        <v>34.957656999999998</v>
      </c>
      <c r="BZ39" s="611">
        <f t="shared" si="26"/>
        <v>0.91512191099476425</v>
      </c>
    </row>
    <row r="40" spans="2:78" x14ac:dyDescent="0.2">
      <c r="B40" s="677">
        <f>真岡!D18</f>
        <v>25.1</v>
      </c>
      <c r="BL40" s="680">
        <f>真岡!BO18</f>
        <v>208.04373012267152</v>
      </c>
      <c r="BM40" s="680">
        <f>真岡!BP18</f>
        <v>199.12340104876336</v>
      </c>
      <c r="BN40" s="611">
        <f t="shared" si="25"/>
        <v>1.0447979947455983</v>
      </c>
      <c r="BY40" s="677">
        <f>真岡!CB18</f>
        <v>23.121612000000002</v>
      </c>
      <c r="BZ40" s="611">
        <f t="shared" si="26"/>
        <v>0.92117976095617538</v>
      </c>
    </row>
    <row r="41" spans="2:78" x14ac:dyDescent="0.2">
      <c r="B41" s="678">
        <f>前橋!D12</f>
        <v>12.8</v>
      </c>
      <c r="BL41" s="681">
        <f>前橋!BN12</f>
        <v>82.617825230955617</v>
      </c>
      <c r="BM41" s="681">
        <f>前橋!BO12</f>
        <v>88.644708699781162</v>
      </c>
      <c r="BN41" s="611">
        <f t="shared" si="25"/>
        <v>0.93201079277910215</v>
      </c>
      <c r="BY41" s="678">
        <f>前橋!CA12</f>
        <v>15.52422</v>
      </c>
      <c r="BZ41" s="611">
        <f t="shared" si="26"/>
        <v>1.2128296875</v>
      </c>
    </row>
    <row r="42" spans="2:78" s="622" customFormat="1" x14ac:dyDescent="0.2">
      <c r="B42" s="686">
        <f>前橋!D13</f>
        <v>16.600000000000001</v>
      </c>
      <c r="BL42" s="687">
        <f>前橋!BN13</f>
        <v>47.832878994396488</v>
      </c>
      <c r="BM42" s="687">
        <f>前橋!BO13</f>
        <v>46.65503943185103</v>
      </c>
      <c r="BN42" s="683">
        <f t="shared" si="25"/>
        <v>1.0252457092929035</v>
      </c>
      <c r="BY42" s="686">
        <f>前橋!CA13</f>
        <v>9.3858249999999988</v>
      </c>
      <c r="BZ42" s="683">
        <f t="shared" si="26"/>
        <v>0.5654111445783131</v>
      </c>
    </row>
    <row r="43" spans="2:78" x14ac:dyDescent="0.2">
      <c r="B43" s="587">
        <f>前橋!D14</f>
        <v>17.3</v>
      </c>
      <c r="BL43" s="679">
        <f>前橋!BN14</f>
        <v>99.496857489020144</v>
      </c>
      <c r="BM43" s="679">
        <f>前橋!BO14</f>
        <v>100.7123972913828</v>
      </c>
      <c r="BN43" s="611">
        <f t="shared" si="25"/>
        <v>0.9879305841678474</v>
      </c>
      <c r="BY43" s="587">
        <f>前橋!CA14</f>
        <v>13.06617</v>
      </c>
      <c r="BZ43" s="611">
        <f t="shared" si="26"/>
        <v>0.75526994219653176</v>
      </c>
    </row>
    <row r="44" spans="2:78" x14ac:dyDescent="0.2">
      <c r="B44" s="587">
        <f>前橋!D15</f>
        <v>14.7</v>
      </c>
      <c r="BL44" s="679">
        <f>前橋!BN15</f>
        <v>86.819438134181411</v>
      </c>
      <c r="BM44" s="679">
        <f>前橋!BO15</f>
        <v>86.8466039060242</v>
      </c>
      <c r="BN44" s="611">
        <f t="shared" si="25"/>
        <v>0.99968719822513519</v>
      </c>
      <c r="BY44" s="587">
        <f>前橋!CA15</f>
        <v>13.065595</v>
      </c>
      <c r="BZ44" s="611">
        <f t="shared" si="26"/>
        <v>0.88881598639455783</v>
      </c>
    </row>
    <row r="45" spans="2:78" x14ac:dyDescent="0.2">
      <c r="B45" s="587">
        <f>前橋!D16</f>
        <v>24.6</v>
      </c>
      <c r="BL45" s="679">
        <f>前橋!BN16</f>
        <v>150.58825533848253</v>
      </c>
      <c r="BM45" s="679">
        <f>前橋!BO16</f>
        <v>151.3149613939469</v>
      </c>
      <c r="BN45" s="611">
        <f t="shared" si="25"/>
        <v>0.99519739456845646</v>
      </c>
      <c r="BY45" s="587">
        <f>前橋!CA16</f>
        <v>19.439890000000002</v>
      </c>
      <c r="BZ45" s="611">
        <f t="shared" si="26"/>
        <v>0.79023943089430893</v>
      </c>
    </row>
    <row r="46" spans="2:78" x14ac:dyDescent="0.2">
      <c r="B46" s="587">
        <f>前橋!D17</f>
        <v>18.899999999999999</v>
      </c>
      <c r="BL46" s="679">
        <f>前橋!BN17</f>
        <v>124.12320157504165</v>
      </c>
      <c r="BM46" s="679">
        <f>前橋!BO17</f>
        <v>110.13025310706472</v>
      </c>
      <c r="BN46" s="611">
        <f t="shared" si="25"/>
        <v>1.12705817042274</v>
      </c>
      <c r="BY46" s="587">
        <f>前橋!CA17</f>
        <v>17.628779999999999</v>
      </c>
      <c r="BZ46" s="611">
        <f t="shared" si="26"/>
        <v>0.93273968253968254</v>
      </c>
    </row>
    <row r="47" spans="2:78" x14ac:dyDescent="0.2">
      <c r="B47" s="677">
        <f>前橋!D18</f>
        <v>13.3</v>
      </c>
      <c r="BL47" s="680">
        <f>前橋!BN18</f>
        <v>77.719975768590032</v>
      </c>
      <c r="BM47" s="680">
        <f>前橋!BO18</f>
        <v>76.531758123787128</v>
      </c>
      <c r="BN47" s="611">
        <f t="shared" si="25"/>
        <v>1.0155258114269505</v>
      </c>
      <c r="BY47" s="677">
        <f>前橋!CA18</f>
        <v>12.374560000000001</v>
      </c>
      <c r="BZ47" s="611">
        <f t="shared" si="26"/>
        <v>0.93041804511278192</v>
      </c>
    </row>
    <row r="48" spans="2:78" x14ac:dyDescent="0.2">
      <c r="B48" s="678">
        <f>館林!D12</f>
        <v>21.1</v>
      </c>
      <c r="BL48" s="681">
        <f>館林!BN12</f>
        <v>116.91890049977283</v>
      </c>
      <c r="BM48" s="681">
        <f>館林!BO12</f>
        <v>117.55442490056018</v>
      </c>
      <c r="BN48" s="611">
        <f t="shared" si="25"/>
        <v>0.99459378580325719</v>
      </c>
      <c r="BY48" s="678">
        <f>館林!CA12</f>
        <v>18.508989999999997</v>
      </c>
      <c r="BZ48" s="611">
        <f t="shared" si="26"/>
        <v>0.87720331753554481</v>
      </c>
    </row>
    <row r="49" spans="2:78" x14ac:dyDescent="0.2">
      <c r="B49" s="587">
        <f>館林!D13</f>
        <v>23.2</v>
      </c>
      <c r="BL49" s="679">
        <f>館林!BN13</f>
        <v>132.29524458579434</v>
      </c>
      <c r="BM49" s="679">
        <f>館林!BO13</f>
        <v>128.57913827986292</v>
      </c>
      <c r="BN49" s="611">
        <f t="shared" si="25"/>
        <v>1.0289013159960911</v>
      </c>
      <c r="BY49" s="587">
        <f>館林!CA13</f>
        <v>20.208805000000005</v>
      </c>
      <c r="BZ49" s="611">
        <f t="shared" si="26"/>
        <v>0.87106918103448305</v>
      </c>
    </row>
    <row r="50" spans="2:78" x14ac:dyDescent="0.2">
      <c r="B50" s="587">
        <f>館林!D14</f>
        <v>19.100000000000001</v>
      </c>
      <c r="BL50" s="679">
        <f>館林!BN14</f>
        <v>108.96997576859003</v>
      </c>
      <c r="BM50" s="679">
        <f>館林!BO14</f>
        <v>105.76354652683153</v>
      </c>
      <c r="BN50" s="611">
        <f t="shared" si="25"/>
        <v>1.0303169603048916</v>
      </c>
      <c r="BY50" s="587">
        <f>館林!CA14</f>
        <v>16.91422</v>
      </c>
      <c r="BZ50" s="611">
        <f t="shared" si="26"/>
        <v>0.88556125654450257</v>
      </c>
    </row>
    <row r="51" spans="2:78" x14ac:dyDescent="0.2">
      <c r="B51" s="587">
        <f>館林!D15</f>
        <v>22.3</v>
      </c>
      <c r="BL51" s="679">
        <f>館林!BN15</f>
        <v>149.2387929728911</v>
      </c>
      <c r="BM51" s="679">
        <f>館林!BO15</f>
        <v>146.09285065444485</v>
      </c>
      <c r="BN51" s="611">
        <f t="shared" si="25"/>
        <v>1.0215338553827482</v>
      </c>
      <c r="BY51" s="587">
        <f>館林!CA15</f>
        <v>20.010104999999999</v>
      </c>
      <c r="BZ51" s="611">
        <f t="shared" si="26"/>
        <v>0.89731412556053802</v>
      </c>
    </row>
    <row r="52" spans="2:78" x14ac:dyDescent="0.2">
      <c r="B52" s="587">
        <f>館林!D16</f>
        <v>30.5</v>
      </c>
      <c r="BL52" s="679">
        <f>館林!BN16</f>
        <v>231.97266394063303</v>
      </c>
      <c r="BM52" s="679">
        <f>館林!BO16</f>
        <v>216.69481054819221</v>
      </c>
      <c r="BN52" s="611">
        <f t="shared" si="25"/>
        <v>1.0705040113964477</v>
      </c>
      <c r="BY52" s="587">
        <f>館林!CA16</f>
        <v>28.084540000000004</v>
      </c>
      <c r="BZ52" s="611">
        <f t="shared" si="26"/>
        <v>0.92080459016393457</v>
      </c>
    </row>
    <row r="53" spans="2:78" x14ac:dyDescent="0.2">
      <c r="B53" s="587">
        <f>館林!D17</f>
        <v>29.5</v>
      </c>
      <c r="BL53" s="679">
        <f>館林!BN17</f>
        <v>210.07481447826746</v>
      </c>
      <c r="BM53" s="679">
        <f>館林!BO17</f>
        <v>212.01983635437742</v>
      </c>
      <c r="BN53" s="611">
        <f t="shared" si="25"/>
        <v>0.99082622687785216</v>
      </c>
      <c r="BY53" s="587">
        <f>館林!CA17</f>
        <v>27.619090000000003</v>
      </c>
      <c r="BZ53" s="611">
        <f t="shared" si="26"/>
        <v>0.93624033898305092</v>
      </c>
    </row>
    <row r="54" spans="2:78" x14ac:dyDescent="0.2">
      <c r="B54" s="677">
        <f>館林!D18</f>
        <v>19</v>
      </c>
      <c r="BL54" s="680">
        <f>館林!BN18</f>
        <v>92.303309101923375</v>
      </c>
      <c r="BM54" s="680">
        <f>館林!BO18</f>
        <v>88.192311821297324</v>
      </c>
      <c r="BN54" s="611">
        <f t="shared" si="25"/>
        <v>1.0466140097218009</v>
      </c>
      <c r="BY54" s="677">
        <f>館林!CA18</f>
        <v>15.040620000000002</v>
      </c>
      <c r="BZ54" s="611">
        <f t="shared" si="26"/>
        <v>0.79161157894736855</v>
      </c>
    </row>
    <row r="55" spans="2:78" x14ac:dyDescent="0.2">
      <c r="B55" s="678">
        <f>鴻巣!D12</f>
        <v>23</v>
      </c>
      <c r="BL55" s="681">
        <f>鴻巣!BN12</f>
        <v>172.52960775405117</v>
      </c>
      <c r="BM55" s="681">
        <f>鴻巣!BO12</f>
        <v>175.78781948057309</v>
      </c>
      <c r="BN55" s="611">
        <f t="shared" si="25"/>
        <v>0.98146508821743483</v>
      </c>
      <c r="BY55" s="678">
        <f>鴻巣!CA12</f>
        <v>22.119710000000001</v>
      </c>
      <c r="BZ55" s="611">
        <f t="shared" si="26"/>
        <v>0.96172652173913054</v>
      </c>
    </row>
    <row r="56" spans="2:78" x14ac:dyDescent="0.2">
      <c r="B56" s="587">
        <f>鴻巣!D13</f>
        <v>26</v>
      </c>
      <c r="BL56" s="679">
        <f>鴻巣!BN13</f>
        <v>197.13982280781465</v>
      </c>
      <c r="BM56" s="679">
        <f>鴻巣!BO13</f>
        <v>190.42374306673824</v>
      </c>
      <c r="BN56" s="611">
        <f t="shared" si="25"/>
        <v>1.0352691299567756</v>
      </c>
      <c r="BY56" s="587">
        <f>鴻巣!CA13</f>
        <v>23.329472000000003</v>
      </c>
      <c r="BZ56" s="611">
        <f t="shared" si="26"/>
        <v>0.89728738461538471</v>
      </c>
    </row>
    <row r="57" spans="2:78" x14ac:dyDescent="0.2">
      <c r="B57" s="587">
        <f>鴻巣!D14</f>
        <v>20</v>
      </c>
      <c r="BL57" s="679">
        <f>鴻巣!BN14</f>
        <v>154.50541420566407</v>
      </c>
      <c r="BM57" s="679">
        <f>鴻巣!BO14</f>
        <v>158.99364961393948</v>
      </c>
      <c r="BN57" s="611">
        <f t="shared" si="25"/>
        <v>0.97177097689641367</v>
      </c>
      <c r="BY57" s="587">
        <f>鴻巣!CA14</f>
        <v>18.201222000000001</v>
      </c>
      <c r="BZ57" s="611">
        <f t="shared" si="26"/>
        <v>0.91006110000000007</v>
      </c>
    </row>
    <row r="58" spans="2:78" x14ac:dyDescent="0.2">
      <c r="B58" s="587">
        <f>鴻巣!D15</f>
        <v>22</v>
      </c>
      <c r="BL58" s="679">
        <f>鴻巣!BN15</f>
        <v>167.97315614114797</v>
      </c>
      <c r="BM58" s="679">
        <f>鴻巣!BO15</f>
        <v>175.26321758399055</v>
      </c>
      <c r="BN58" s="611">
        <f t="shared" si="25"/>
        <v>0.95840506899658506</v>
      </c>
      <c r="BY58" s="587">
        <f>鴻巣!CA15</f>
        <v>20.176733000000002</v>
      </c>
      <c r="BZ58" s="611">
        <f t="shared" si="26"/>
        <v>0.91712422727272735</v>
      </c>
    </row>
    <row r="59" spans="2:78" x14ac:dyDescent="0.2">
      <c r="B59" s="587">
        <f>鴻巣!D16</f>
        <v>31</v>
      </c>
      <c r="BL59" s="679">
        <f>鴻巣!BN16</f>
        <v>295.54036044222323</v>
      </c>
      <c r="BM59" s="679">
        <f>鴻巣!BO16</f>
        <v>302.90333278280139</v>
      </c>
      <c r="BN59" s="611">
        <f t="shared" si="25"/>
        <v>0.97569200618252094</v>
      </c>
      <c r="BY59" s="587">
        <f>鴻巣!CA16</f>
        <v>28.217825000000001</v>
      </c>
      <c r="BZ59" s="611">
        <f t="shared" si="26"/>
        <v>0.9102524193548388</v>
      </c>
    </row>
    <row r="60" spans="2:78" x14ac:dyDescent="0.2">
      <c r="B60" s="587">
        <f>鴻巣!D17</f>
        <v>30</v>
      </c>
      <c r="BL60" s="679">
        <f>鴻巣!BN17</f>
        <v>252.26079054975008</v>
      </c>
      <c r="BM60" s="679">
        <f>鴻巣!BO17</f>
        <v>260.75175963775001</v>
      </c>
      <c r="BN60" s="611">
        <f t="shared" si="25"/>
        <v>0.96743657991111531</v>
      </c>
      <c r="BY60" s="587">
        <f>鴻巣!CA17</f>
        <v>28.043707000000001</v>
      </c>
      <c r="BZ60" s="611">
        <f t="shared" si="26"/>
        <v>0.93479023333333333</v>
      </c>
    </row>
    <row r="61" spans="2:78" x14ac:dyDescent="0.2">
      <c r="B61" s="677">
        <f>鴻巣!D18</f>
        <v>18</v>
      </c>
      <c r="BL61" s="680">
        <f>鴻巣!BN18</f>
        <v>149.82261850673936</v>
      </c>
      <c r="BM61" s="680">
        <f>鴻巣!BO18</f>
        <v>145.74758818833698</v>
      </c>
      <c r="BN61" s="611">
        <f t="shared" si="25"/>
        <v>1.0279595042981884</v>
      </c>
      <c r="BY61" s="677">
        <f>鴻巣!CA18</f>
        <v>18.215205999999998</v>
      </c>
      <c r="BZ61" s="611">
        <f t="shared" si="26"/>
        <v>1.0119558888888889</v>
      </c>
    </row>
    <row r="62" spans="2:78" x14ac:dyDescent="0.2">
      <c r="B62" s="678">
        <f>幸手!D12</f>
        <v>21</v>
      </c>
      <c r="BL62" s="681">
        <f>幸手!BN12</f>
        <v>155.99734968953507</v>
      </c>
      <c r="BM62" s="681">
        <f>幸手!BO12</f>
        <v>158.99465020576133</v>
      </c>
      <c r="BN62" s="611">
        <f t="shared" si="25"/>
        <v>0.98114841906726213</v>
      </c>
      <c r="BY62" s="678">
        <f>幸手!CA12</f>
        <v>18.905391000000002</v>
      </c>
      <c r="BZ62" s="611">
        <f t="shared" si="26"/>
        <v>0.90025671428571441</v>
      </c>
    </row>
    <row r="63" spans="2:78" x14ac:dyDescent="0.2">
      <c r="B63" s="587">
        <f>幸手!D13</f>
        <v>25</v>
      </c>
      <c r="BL63" s="679">
        <f>幸手!BN13</f>
        <v>194.08874753899741</v>
      </c>
      <c r="BM63" s="679">
        <f>幸手!BO13</f>
        <v>193.87789614214734</v>
      </c>
      <c r="BN63" s="611">
        <f t="shared" si="25"/>
        <v>1.0010875473741241</v>
      </c>
      <c r="BY63" s="587">
        <f>幸手!CA13</f>
        <v>22.188364</v>
      </c>
      <c r="BZ63" s="611">
        <f t="shared" si="26"/>
        <v>0.88753455999999997</v>
      </c>
    </row>
    <row r="64" spans="2:78" x14ac:dyDescent="0.2">
      <c r="B64" s="587">
        <f>幸手!D14</f>
        <v>18</v>
      </c>
      <c r="BL64" s="679">
        <f>幸手!BN14</f>
        <v>131.0081023777071</v>
      </c>
      <c r="BM64" s="679">
        <f>幸手!BO14</f>
        <v>129.93889921136301</v>
      </c>
      <c r="BN64" s="611">
        <f t="shared" si="25"/>
        <v>1.0082285071894053</v>
      </c>
      <c r="BY64" s="587">
        <f>幸手!CA14</f>
        <v>15.938902000000001</v>
      </c>
      <c r="BZ64" s="611">
        <f t="shared" si="26"/>
        <v>0.88549455555555556</v>
      </c>
    </row>
    <row r="65" spans="2:78" x14ac:dyDescent="0.2">
      <c r="B65" s="587">
        <f>幸手!D15</f>
        <v>20</v>
      </c>
      <c r="BL65" s="679">
        <f>幸手!BN15</f>
        <v>149.70702710888992</v>
      </c>
      <c r="BM65" s="679">
        <f>幸手!BO15</f>
        <v>151.50430722435556</v>
      </c>
      <c r="BN65" s="611">
        <f t="shared" si="25"/>
        <v>0.98813710218281692</v>
      </c>
      <c r="BY65" s="587">
        <f>幸手!CA15</f>
        <v>18.155910999999996</v>
      </c>
      <c r="BZ65" s="611">
        <f t="shared" si="26"/>
        <v>0.90779554999999978</v>
      </c>
    </row>
    <row r="66" spans="2:78" x14ac:dyDescent="0.2">
      <c r="B66" s="587">
        <f>幸手!D16</f>
        <v>30</v>
      </c>
      <c r="BL66" s="679">
        <f>幸手!BN16</f>
        <v>275.19089807663181</v>
      </c>
      <c r="BM66" s="679">
        <f>幸手!BO16</f>
        <v>302.85095723743069</v>
      </c>
      <c r="BN66" s="611">
        <f t="shared" si="25"/>
        <v>0.9086677505889017</v>
      </c>
      <c r="BY66" s="587">
        <f>幸手!CA16</f>
        <v>27.274012000000006</v>
      </c>
      <c r="BZ66" s="611">
        <f t="shared" si="26"/>
        <v>0.90913373333333358</v>
      </c>
    </row>
    <row r="67" spans="2:78" x14ac:dyDescent="0.2">
      <c r="B67" s="587">
        <f>幸手!D17</f>
        <v>32</v>
      </c>
      <c r="BL67" s="679">
        <f>幸手!BN17</f>
        <v>293.58874753899744</v>
      </c>
      <c r="BM67" s="679">
        <f>幸手!BO17</f>
        <v>290.50652105096555</v>
      </c>
      <c r="BN67" s="611">
        <f t="shared" si="25"/>
        <v>1.0106098358029325</v>
      </c>
      <c r="BY67" s="587">
        <f>幸手!CA17</f>
        <v>28.662593000000005</v>
      </c>
      <c r="BZ67" s="611">
        <f t="shared" si="26"/>
        <v>0.89570603125000015</v>
      </c>
    </row>
    <row r="68" spans="2:78" x14ac:dyDescent="0.2">
      <c r="B68" s="677">
        <f>幸手!D18</f>
        <v>22</v>
      </c>
      <c r="BL68" s="680">
        <f>幸手!BN18</f>
        <v>174.66132818415875</v>
      </c>
      <c r="BM68" s="680">
        <f>幸手!BO18</f>
        <v>179.00801643337874</v>
      </c>
      <c r="BN68" s="611">
        <f t="shared" si="25"/>
        <v>0.9757179128855511</v>
      </c>
      <c r="BY68" s="677">
        <f>幸手!CA18</f>
        <v>20.200856000000002</v>
      </c>
      <c r="BZ68" s="611">
        <f t="shared" si="26"/>
        <v>0.9182207272727273</v>
      </c>
    </row>
    <row r="69" spans="2:78" x14ac:dyDescent="0.2">
      <c r="B69" s="678">
        <f>さいたま!D12</f>
        <v>21.7</v>
      </c>
      <c r="BL69" s="681">
        <f>さいたま!BN12</f>
        <v>149.00268817204301</v>
      </c>
      <c r="BM69" s="681">
        <f>さいたま!BO12</f>
        <v>149.60919113093027</v>
      </c>
      <c r="BN69" s="611">
        <f t="shared" si="25"/>
        <v>0.99594608490091707</v>
      </c>
      <c r="BY69" s="678">
        <f>さいたま!CA12</f>
        <v>21.365245999999999</v>
      </c>
      <c r="BZ69" s="611">
        <f t="shared" si="26"/>
        <v>0.98457354838709676</v>
      </c>
    </row>
    <row r="70" spans="2:78" x14ac:dyDescent="0.2">
      <c r="B70" s="587">
        <f>さいたま!D13</f>
        <v>26.5</v>
      </c>
      <c r="BL70" s="679">
        <f>さいたま!BN13</f>
        <v>190.28346206269879</v>
      </c>
      <c r="BM70" s="679">
        <f>さいたま!BO13</f>
        <v>191.63364851287557</v>
      </c>
      <c r="BN70" s="611">
        <f t="shared" si="25"/>
        <v>0.99295433520858911</v>
      </c>
      <c r="BY70" s="587">
        <f>さいたま!CA13</f>
        <v>24.598750000000003</v>
      </c>
      <c r="BZ70" s="611">
        <f t="shared" si="26"/>
        <v>0.92825471698113216</v>
      </c>
    </row>
    <row r="71" spans="2:78" x14ac:dyDescent="0.2">
      <c r="B71" s="587">
        <f>さいたま!D14</f>
        <v>19.7</v>
      </c>
      <c r="BL71" s="679">
        <f>さいたま!BN14</f>
        <v>126.69322277752538</v>
      </c>
      <c r="BM71" s="679">
        <f>さいたま!BO14</f>
        <v>129.5063930522868</v>
      </c>
      <c r="BN71" s="611">
        <f t="shared" si="25"/>
        <v>0.97827774978162174</v>
      </c>
      <c r="BY71" s="587">
        <f>さいたま!CA14</f>
        <v>18.768021000000005</v>
      </c>
      <c r="BZ71" s="611">
        <f t="shared" si="26"/>
        <v>0.95269142131979723</v>
      </c>
    </row>
    <row r="72" spans="2:78" x14ac:dyDescent="0.2">
      <c r="B72" s="587">
        <f>さいたま!D15</f>
        <v>24.9</v>
      </c>
      <c r="BL72" s="679">
        <f>さいたま!BN15</f>
        <v>176.38069816749962</v>
      </c>
      <c r="BM72" s="679">
        <f>さいたま!BO15</f>
        <v>171.9883700125246</v>
      </c>
      <c r="BN72" s="611">
        <f t="shared" si="25"/>
        <v>1.0255385184164205</v>
      </c>
      <c r="BY72" s="587">
        <f>さいたま!CA15</f>
        <v>22.140279999999997</v>
      </c>
      <c r="BZ72" s="611">
        <f t="shared" si="26"/>
        <v>0.88916787148594367</v>
      </c>
    </row>
    <row r="73" spans="2:78" x14ac:dyDescent="0.2">
      <c r="B73" s="587">
        <f>さいたま!D16</f>
        <v>31.3</v>
      </c>
      <c r="BL73" s="679">
        <f>さいたま!BN16</f>
        <v>279.96554596395578</v>
      </c>
      <c r="BM73" s="679">
        <f>さいたま!BO16</f>
        <v>277.09632244656399</v>
      </c>
      <c r="BN73" s="611">
        <f t="shared" si="25"/>
        <v>1.0103546069903007</v>
      </c>
      <c r="BY73" s="587">
        <f>さいたま!CA16</f>
        <v>28.581280000000003</v>
      </c>
      <c r="BZ73" s="611">
        <f t="shared" si="26"/>
        <v>0.91313993610223654</v>
      </c>
    </row>
    <row r="74" spans="2:78" x14ac:dyDescent="0.2">
      <c r="B74" s="587">
        <f>さいたま!D17</f>
        <v>31.5</v>
      </c>
      <c r="BL74" s="679">
        <f>さいたま!BN17</f>
        <v>232.16984703922458</v>
      </c>
      <c r="BM74" s="679">
        <f>さいたま!BO17</f>
        <v>238.64101050139701</v>
      </c>
      <c r="BN74" s="611">
        <f t="shared" si="25"/>
        <v>0.97288327161967603</v>
      </c>
      <c r="BY74" s="587">
        <f>さいたま!CA17</f>
        <v>27.650298999999997</v>
      </c>
      <c r="BZ74" s="611">
        <f t="shared" si="26"/>
        <v>0.87778726984126976</v>
      </c>
    </row>
    <row r="75" spans="2:78" x14ac:dyDescent="0.2">
      <c r="B75" s="677">
        <f>さいたま!D18</f>
        <v>23.1</v>
      </c>
      <c r="BL75" s="680">
        <f>さいたま!BN18</f>
        <v>152.16155535362714</v>
      </c>
      <c r="BM75" s="680">
        <f>さいたま!BO18</f>
        <v>155.91607828564349</v>
      </c>
      <c r="BN75" s="611">
        <f t="shared" si="25"/>
        <v>0.975919591017817</v>
      </c>
      <c r="BY75" s="677">
        <f>さいたま!CA18</f>
        <v>22.364750000000001</v>
      </c>
      <c r="BZ75" s="611">
        <f t="shared" si="26"/>
        <v>0.96817099567099563</v>
      </c>
    </row>
    <row r="76" spans="2:78" x14ac:dyDescent="0.2">
      <c r="B76" s="564">
        <f>市原!D12</f>
        <v>16.2</v>
      </c>
      <c r="BL76" s="563">
        <f>市原!BN12</f>
        <v>95.900499772830543</v>
      </c>
      <c r="BM76" s="563">
        <f>市原!BO12</f>
        <v>91.38740520527962</v>
      </c>
      <c r="BN76" s="611">
        <f t="shared" si="25"/>
        <v>1.0493842073468806</v>
      </c>
      <c r="BY76" s="564">
        <f>市原!CA12</f>
        <v>12.356393000000001</v>
      </c>
      <c r="BZ76" s="611">
        <f t="shared" si="26"/>
        <v>0.7627403086419754</v>
      </c>
    </row>
    <row r="77" spans="2:78" x14ac:dyDescent="0.2">
      <c r="B77" s="564">
        <f>市原!D13</f>
        <v>23.7</v>
      </c>
      <c r="BL77" s="563">
        <f>市原!BN13</f>
        <v>191.73383310616384</v>
      </c>
      <c r="BM77" s="563">
        <f>市原!BO13</f>
        <v>198.81473842850653</v>
      </c>
      <c r="BN77" s="611">
        <f t="shared" si="25"/>
        <v>0.9643844044042591</v>
      </c>
      <c r="BY77" s="564">
        <f>市原!CA13</f>
        <v>20.749699000000003</v>
      </c>
      <c r="BZ77" s="611">
        <f t="shared" si="26"/>
        <v>0.87551472573839684</v>
      </c>
    </row>
    <row r="78" spans="2:78" x14ac:dyDescent="0.2">
      <c r="B78" s="564">
        <f>市原!D14</f>
        <v>19.3</v>
      </c>
      <c r="BL78" s="563">
        <f>市原!BN14</f>
        <v>135.48383310616384</v>
      </c>
      <c r="BM78" s="563">
        <f>市原!BO14</f>
        <v>140.59348445435398</v>
      </c>
      <c r="BN78" s="611">
        <f t="shared" si="25"/>
        <v>0.96365655657500204</v>
      </c>
      <c r="BY78" s="564">
        <f>市原!CA14</f>
        <v>16.690234999999998</v>
      </c>
      <c r="BZ78" s="611">
        <f t="shared" si="26"/>
        <v>0.86477901554404135</v>
      </c>
    </row>
    <row r="79" spans="2:78" x14ac:dyDescent="0.2">
      <c r="B79" s="564">
        <f>市原!D15</f>
        <v>27.2</v>
      </c>
      <c r="BL79" s="563">
        <f>市原!BN15</f>
        <v>191.27146751476602</v>
      </c>
      <c r="BM79" s="563">
        <f>市原!BO15</f>
        <v>193.61488225497888</v>
      </c>
      <c r="BN79" s="611">
        <f t="shared" si="25"/>
        <v>0.98789651542836088</v>
      </c>
      <c r="BY79" s="564">
        <f>市原!CA15</f>
        <v>22.483998999999997</v>
      </c>
      <c r="BZ79" s="611">
        <f t="shared" si="26"/>
        <v>0.82661761029411751</v>
      </c>
    </row>
    <row r="80" spans="2:78" x14ac:dyDescent="0.2">
      <c r="B80" s="564">
        <f>市原!D16</f>
        <v>39.700000000000003</v>
      </c>
      <c r="BL80" s="563">
        <f>市原!BN16</f>
        <v>314.65049977283053</v>
      </c>
      <c r="BM80" s="563">
        <f>市原!BO16</f>
        <v>316.57255322955814</v>
      </c>
      <c r="BN80" s="611">
        <f t="shared" si="25"/>
        <v>0.99392855306905314</v>
      </c>
      <c r="BY80" s="564">
        <f>市原!CA16</f>
        <v>31.432055000000002</v>
      </c>
      <c r="BZ80" s="611">
        <f t="shared" si="26"/>
        <v>0.79173942065491187</v>
      </c>
    </row>
    <row r="81" spans="2:78" x14ac:dyDescent="0.2">
      <c r="B81" s="564">
        <f>市原!D17</f>
        <v>30.7</v>
      </c>
      <c r="BL81" s="563">
        <f>市原!BN17</f>
        <v>356.31716643949721</v>
      </c>
      <c r="BM81" s="563">
        <f>市原!BO17</f>
        <v>358.65445105082784</v>
      </c>
      <c r="BN81" s="611">
        <f t="shared" si="25"/>
        <v>0.99348318526514146</v>
      </c>
      <c r="BY81" s="564">
        <f>市原!CA17</f>
        <v>31.433715999999997</v>
      </c>
      <c r="BZ81" s="611">
        <f t="shared" si="26"/>
        <v>1.0238995439739413</v>
      </c>
    </row>
    <row r="82" spans="2:78" x14ac:dyDescent="0.2">
      <c r="B82" s="677">
        <f>市原!D18</f>
        <v>26.8</v>
      </c>
      <c r="BL82" s="680">
        <f>市原!BN18</f>
        <v>293.81716643949721</v>
      </c>
      <c r="BM82" s="680">
        <f>市原!BO18</f>
        <v>313.10573998375929</v>
      </c>
      <c r="BN82" s="611">
        <f t="shared" si="25"/>
        <v>0.93839597592409973</v>
      </c>
      <c r="BY82" s="677">
        <f>市原!CA18</f>
        <v>27.168718000000002</v>
      </c>
      <c r="BZ82" s="611">
        <f t="shared" si="26"/>
        <v>1.0137581343283582</v>
      </c>
    </row>
    <row r="83" spans="2:78" x14ac:dyDescent="0.2">
      <c r="B83" s="678">
        <f>勝浦!D12</f>
        <v>10.7</v>
      </c>
      <c r="BL83" s="681">
        <f>勝浦!BN12</f>
        <v>87.567166439497186</v>
      </c>
      <c r="BM83" s="681">
        <f>勝浦!BO12</f>
        <v>78.613894050125936</v>
      </c>
      <c r="BN83" s="611">
        <f t="shared" si="25"/>
        <v>1.1138891858436939</v>
      </c>
      <c r="BY83" s="678">
        <f>勝浦!CA12</f>
        <v>9.5553439999999981</v>
      </c>
      <c r="BZ83" s="611">
        <f t="shared" si="26"/>
        <v>0.89302280373831766</v>
      </c>
    </row>
    <row r="84" spans="2:78" x14ac:dyDescent="0.2">
      <c r="B84" s="587">
        <f>勝浦!D13</f>
        <v>15</v>
      </c>
      <c r="BL84" s="679">
        <f>勝浦!BN13</f>
        <v>97.983833106163857</v>
      </c>
      <c r="BM84" s="679">
        <f>勝浦!BO13</f>
        <v>102.7488569580357</v>
      </c>
      <c r="BN84" s="611">
        <f t="shared" si="25"/>
        <v>0.95362455609780694</v>
      </c>
      <c r="BY84" s="587">
        <f>勝浦!CA13</f>
        <v>11.078504450000002</v>
      </c>
      <c r="BZ84" s="611">
        <f t="shared" si="26"/>
        <v>0.73856696333333349</v>
      </c>
    </row>
    <row r="85" spans="2:78" x14ac:dyDescent="0.2">
      <c r="B85" s="587">
        <f>勝浦!D14</f>
        <v>14.1</v>
      </c>
      <c r="BL85" s="679">
        <f>勝浦!BN14</f>
        <v>112.5671664394972</v>
      </c>
      <c r="BM85" s="679">
        <f>勝浦!BO14</f>
        <v>120.83067976932712</v>
      </c>
      <c r="BN85" s="611">
        <f t="shared" si="25"/>
        <v>0.93161080161424692</v>
      </c>
      <c r="BY85" s="587">
        <f>勝浦!CA14</f>
        <v>11.638741</v>
      </c>
      <c r="BZ85" s="611">
        <f t="shared" si="26"/>
        <v>0.82544262411347513</v>
      </c>
    </row>
    <row r="86" spans="2:78" x14ac:dyDescent="0.2">
      <c r="B86" s="587">
        <f>勝浦!D15</f>
        <v>15.3</v>
      </c>
      <c r="BL86" s="679">
        <f>勝浦!BN15</f>
        <v>129.23383310616384</v>
      </c>
      <c r="BM86" s="679">
        <f>勝浦!BO15</f>
        <v>127.56599777034558</v>
      </c>
      <c r="BN86" s="611">
        <f t="shared" si="25"/>
        <v>1.0130742938162944</v>
      </c>
      <c r="BY86" s="587">
        <f>勝浦!CA15</f>
        <v>12.508972000000002</v>
      </c>
      <c r="BZ86" s="611">
        <f t="shared" si="26"/>
        <v>0.81757986928104587</v>
      </c>
    </row>
    <row r="87" spans="2:78" x14ac:dyDescent="0.2">
      <c r="B87" s="587">
        <f>勝浦!D16</f>
        <v>26.4</v>
      </c>
      <c r="BL87" s="679">
        <f>勝浦!BN16</f>
        <v>314.65049977283053</v>
      </c>
      <c r="BM87" s="679">
        <f>勝浦!BO16</f>
        <v>266.85466919911369</v>
      </c>
      <c r="BN87" s="611">
        <f t="shared" si="25"/>
        <v>1.1791080917458259</v>
      </c>
      <c r="BY87" s="587">
        <f>勝浦!CA16</f>
        <v>25.097057</v>
      </c>
      <c r="BZ87" s="611">
        <f t="shared" si="26"/>
        <v>0.95064609848484849</v>
      </c>
    </row>
    <row r="88" spans="2:78" x14ac:dyDescent="0.2">
      <c r="B88" s="587">
        <f>勝浦!D17</f>
        <v>27.5</v>
      </c>
      <c r="BL88" s="679">
        <f>勝浦!BN17</f>
        <v>293.81716643949721</v>
      </c>
      <c r="BM88" s="679">
        <f>勝浦!BO17</f>
        <v>267.75767923255847</v>
      </c>
      <c r="BN88" s="611">
        <f t="shared" si="25"/>
        <v>1.0973248919755725</v>
      </c>
      <c r="BY88" s="587">
        <f>勝浦!CA17</f>
        <v>23.626951000000005</v>
      </c>
      <c r="BZ88" s="611">
        <f t="shared" si="26"/>
        <v>0.8591618545454548</v>
      </c>
    </row>
    <row r="89" spans="2:78" x14ac:dyDescent="0.2">
      <c r="B89" s="677">
        <f>勝浦!D18</f>
        <v>24.1</v>
      </c>
      <c r="BL89" s="680">
        <f>勝浦!BN18</f>
        <v>252.15049977283056</v>
      </c>
      <c r="BM89" s="680">
        <f>勝浦!BO18</f>
        <v>239.5317409196636</v>
      </c>
      <c r="BN89" s="611">
        <f t="shared" si="25"/>
        <v>1.0526809466032276</v>
      </c>
      <c r="BY89" s="677">
        <f>勝浦!CA18</f>
        <v>20.236903000000005</v>
      </c>
      <c r="BZ89" s="611">
        <f t="shared" si="26"/>
        <v>0.83970551867219934</v>
      </c>
    </row>
    <row r="90" spans="2:78" x14ac:dyDescent="0.2">
      <c r="B90" s="678">
        <f>富津!D12</f>
        <v>13.7</v>
      </c>
      <c r="BL90" s="681">
        <f>富津!BN12</f>
        <v>102.15049977283053</v>
      </c>
      <c r="BM90" s="681">
        <f>富津!BO12</f>
        <v>92.648336705341535</v>
      </c>
      <c r="BN90" s="611">
        <f t="shared" si="25"/>
        <v>1.1025616153014126</v>
      </c>
      <c r="BY90" s="678">
        <f>富津!CA12</f>
        <v>12.077455000000002</v>
      </c>
      <c r="BZ90" s="611">
        <f t="shared" si="26"/>
        <v>0.8815660583941608</v>
      </c>
    </row>
    <row r="91" spans="2:78" x14ac:dyDescent="0.2">
      <c r="B91" s="587">
        <f>富津!D13</f>
        <v>24.3</v>
      </c>
      <c r="BL91" s="679">
        <f>富津!BN13</f>
        <v>175.8816825685295</v>
      </c>
      <c r="BM91" s="679">
        <f>富津!BO13</f>
        <v>179.18062265163712</v>
      </c>
      <c r="BN91" s="611">
        <f t="shared" ref="BN91:BN154" si="27">BL91/BM91</f>
        <v>0.98158874528792428</v>
      </c>
      <c r="BY91" s="587">
        <f>富津!CA13</f>
        <v>19.566278000000001</v>
      </c>
      <c r="BZ91" s="611">
        <f t="shared" ref="BZ91:BZ154" si="28">BY91/B91</f>
        <v>0.8051966255144033</v>
      </c>
    </row>
    <row r="92" spans="2:78" x14ac:dyDescent="0.2">
      <c r="B92" s="587">
        <f>富津!D14</f>
        <v>21.3</v>
      </c>
      <c r="BL92" s="679">
        <f>富津!BN14</f>
        <v>175.06716643949721</v>
      </c>
      <c r="BM92" s="679">
        <f>富津!BO14</f>
        <v>174.53742929105246</v>
      </c>
      <c r="BN92" s="611">
        <f t="shared" si="27"/>
        <v>1.0030350919604836</v>
      </c>
      <c r="BY92" s="587">
        <f>富津!CA14</f>
        <v>18.626162000000004</v>
      </c>
      <c r="BZ92" s="611">
        <f t="shared" si="28"/>
        <v>0.87446769953051662</v>
      </c>
    </row>
    <row r="93" spans="2:78" x14ac:dyDescent="0.2">
      <c r="B93" s="587">
        <f>富津!D15</f>
        <v>25.4</v>
      </c>
      <c r="BL93" s="679">
        <f>富津!BN15</f>
        <v>210.48383310616387</v>
      </c>
      <c r="BM93" s="679">
        <f>富津!BO15</f>
        <v>210.14436324098159</v>
      </c>
      <c r="BN93" s="611">
        <f t="shared" si="27"/>
        <v>1.0016154126617853</v>
      </c>
      <c r="BY93" s="587">
        <f>富津!CA15</f>
        <v>23.166140000000006</v>
      </c>
      <c r="BZ93" s="611">
        <f t="shared" si="28"/>
        <v>0.91205275590551205</v>
      </c>
    </row>
    <row r="94" spans="2:78" x14ac:dyDescent="0.2">
      <c r="B94" s="587">
        <f>富津!D16</f>
        <v>31.4</v>
      </c>
      <c r="BL94" s="679">
        <f>富津!BN16</f>
        <v>314.65049977283053</v>
      </c>
      <c r="BM94" s="679">
        <f>富津!BO16</f>
        <v>310.84000853324522</v>
      </c>
      <c r="BN94" s="611">
        <f t="shared" si="27"/>
        <v>1.0122586897921082</v>
      </c>
      <c r="BY94" s="587">
        <f>富津!CA16</f>
        <v>27.547030000000007</v>
      </c>
      <c r="BZ94" s="611">
        <f t="shared" si="28"/>
        <v>0.87729394904458624</v>
      </c>
    </row>
    <row r="95" spans="2:78" x14ac:dyDescent="0.2">
      <c r="B95" s="587">
        <f>富津!D17</f>
        <v>30.9</v>
      </c>
      <c r="BL95" s="679">
        <f>富津!BN17</f>
        <v>335.48383310616384</v>
      </c>
      <c r="BM95" s="679">
        <f>富津!BO17</f>
        <v>338.33473718980974</v>
      </c>
      <c r="BN95" s="611">
        <f t="shared" si="27"/>
        <v>0.99157371747481393</v>
      </c>
      <c r="BY95" s="587">
        <f>富津!CA17</f>
        <v>28.397925000000001</v>
      </c>
      <c r="BZ95" s="611">
        <f t="shared" si="28"/>
        <v>0.91902669902912626</v>
      </c>
    </row>
    <row r="96" spans="2:78" x14ac:dyDescent="0.2">
      <c r="B96" s="677">
        <f>富津!D18</f>
        <v>30</v>
      </c>
      <c r="BL96" s="680">
        <f>富津!BN18</f>
        <v>293.81716643949721</v>
      </c>
      <c r="BM96" s="680">
        <f>富津!BO18</f>
        <v>280.76710433956811</v>
      </c>
      <c r="BN96" s="611">
        <f t="shared" si="27"/>
        <v>1.0464800252530508</v>
      </c>
      <c r="BY96" s="677">
        <f>富津!CA18</f>
        <v>25.549804999999999</v>
      </c>
      <c r="BZ96" s="611">
        <f t="shared" si="28"/>
        <v>0.85166016666666666</v>
      </c>
    </row>
    <row r="97" spans="2:78" x14ac:dyDescent="0.2">
      <c r="B97" s="678">
        <f>千葉!D12</f>
        <v>15.541666666666664</v>
      </c>
      <c r="BL97" s="681">
        <f>千葉!BN12</f>
        <v>100.45778434045131</v>
      </c>
      <c r="BM97" s="681">
        <f>千葉!BO12</f>
        <v>113.02565410077486</v>
      </c>
      <c r="BN97" s="611">
        <f t="shared" si="27"/>
        <v>0.88880515790585113</v>
      </c>
      <c r="BY97" s="678">
        <f>千葉!CA12</f>
        <v>15.830639000000001</v>
      </c>
      <c r="BZ97" s="611">
        <f t="shared" si="28"/>
        <v>1.018593394101877</v>
      </c>
    </row>
    <row r="98" spans="2:78" x14ac:dyDescent="0.2">
      <c r="B98" s="587">
        <f>千葉!D13</f>
        <v>21.520833333332863</v>
      </c>
      <c r="BL98" s="679">
        <f>千葉!BN13</f>
        <v>190.52498864152659</v>
      </c>
      <c r="BM98" s="679">
        <f>千葉!BO13</f>
        <v>207.66919842547861</v>
      </c>
      <c r="BN98" s="611">
        <f t="shared" si="27"/>
        <v>0.91744461906754959</v>
      </c>
      <c r="BY98" s="587">
        <f>千葉!CA13</f>
        <v>20.650931000000003</v>
      </c>
      <c r="BZ98" s="611">
        <f t="shared" si="28"/>
        <v>0.95957859438530668</v>
      </c>
    </row>
    <row r="99" spans="2:78" x14ac:dyDescent="0.2">
      <c r="B99" s="587">
        <f>千葉!D14</f>
        <v>17.91666666666616</v>
      </c>
      <c r="BL99" s="679">
        <f>千葉!BN14</f>
        <v>143.64326821141904</v>
      </c>
      <c r="BM99" s="679">
        <f>千葉!BO14</f>
        <v>153.73979451394908</v>
      </c>
      <c r="BN99" s="611">
        <f t="shared" si="27"/>
        <v>0.93432717706921375</v>
      </c>
      <c r="BY99" s="587">
        <f>千葉!CA14</f>
        <v>17.073199000000002</v>
      </c>
      <c r="BZ99" s="611">
        <f t="shared" si="28"/>
        <v>0.95292273488374801</v>
      </c>
    </row>
    <row r="100" spans="2:78" x14ac:dyDescent="0.2">
      <c r="B100" s="587">
        <f>千葉!D15</f>
        <v>22.833333333331431</v>
      </c>
      <c r="BL100" s="679">
        <f>千葉!BN15</f>
        <v>232.35294563077389</v>
      </c>
      <c r="BM100" s="679">
        <f>千葉!BO15</f>
        <v>230.03441719311283</v>
      </c>
      <c r="BN100" s="611">
        <f t="shared" si="27"/>
        <v>1.0100790501958439</v>
      </c>
      <c r="BY100" s="587">
        <f>千葉!CA15</f>
        <v>23.676545000000004</v>
      </c>
      <c r="BZ100" s="611">
        <f t="shared" si="28"/>
        <v>1.0369289781022764</v>
      </c>
    </row>
    <row r="101" spans="2:78" x14ac:dyDescent="0.2">
      <c r="B101" s="587">
        <f>千葉!D16</f>
        <v>28.583333333332835</v>
      </c>
      <c r="BL101" s="679">
        <f>千葉!BN16</f>
        <v>316.33144025442982</v>
      </c>
      <c r="BM101" s="679">
        <f>千葉!BO16</f>
        <v>278.88768322391513</v>
      </c>
      <c r="BN101" s="611">
        <f t="shared" si="27"/>
        <v>1.1342610638005537</v>
      </c>
      <c r="BY101" s="587">
        <f>千葉!CA16</f>
        <v>29.553118999999995</v>
      </c>
      <c r="BZ101" s="611">
        <f t="shared" si="28"/>
        <v>1.0339283615160528</v>
      </c>
    </row>
    <row r="102" spans="2:78" x14ac:dyDescent="0.2">
      <c r="B102" s="587">
        <f>千葉!D17</f>
        <v>35.395833333332803</v>
      </c>
      <c r="BL102" s="679">
        <f>千葉!BN17</f>
        <v>383.1372103589278</v>
      </c>
      <c r="BM102" s="679">
        <f>千葉!BO17</f>
        <v>408.10675020989027</v>
      </c>
      <c r="BN102" s="611">
        <f t="shared" si="27"/>
        <v>0.93881615572856714</v>
      </c>
      <c r="BY102" s="587">
        <f>千葉!CA17</f>
        <v>34.938203000000001</v>
      </c>
      <c r="BZ102" s="611">
        <f t="shared" si="28"/>
        <v>0.98707106768688946</v>
      </c>
    </row>
    <row r="103" spans="2:78" x14ac:dyDescent="0.2">
      <c r="B103" s="677">
        <f>千葉!D18</f>
        <v>30.83333333333292</v>
      </c>
      <c r="BL103" s="680">
        <f>千葉!BN18</f>
        <v>314.71853702862336</v>
      </c>
      <c r="BM103" s="680">
        <f>千葉!BO18</f>
        <v>325.8172082524739</v>
      </c>
      <c r="BN103" s="611">
        <f t="shared" si="27"/>
        <v>0.9659358961321336</v>
      </c>
      <c r="BY103" s="677">
        <f>千葉!CA18</f>
        <v>29.646113999999997</v>
      </c>
      <c r="BZ103" s="611">
        <f t="shared" si="28"/>
        <v>0.96149558918920197</v>
      </c>
    </row>
    <row r="104" spans="2:78" x14ac:dyDescent="0.2">
      <c r="B104" s="564">
        <f>綾瀬!D12</f>
        <v>19.8</v>
      </c>
      <c r="BL104" s="563">
        <f>綾瀬!BN12</f>
        <v>116.5203316674239</v>
      </c>
      <c r="BM104" s="563">
        <f>綾瀬!BO12</f>
        <v>114.0865298594767</v>
      </c>
      <c r="BN104" s="611">
        <f t="shared" si="27"/>
        <v>1.0213329462377809</v>
      </c>
      <c r="BY104" s="564">
        <f>綾瀬!CA12</f>
        <v>14.945550000000001</v>
      </c>
      <c r="BZ104" s="611">
        <f t="shared" si="28"/>
        <v>0.75482575757575754</v>
      </c>
    </row>
    <row r="105" spans="2:78" s="622" customFormat="1" x14ac:dyDescent="0.2">
      <c r="B105" s="674">
        <f>綾瀬!D13</f>
        <v>27.4</v>
      </c>
      <c r="BL105" s="682">
        <f>綾瀬!BN13</f>
        <v>133.20555050734515</v>
      </c>
      <c r="BM105" s="682">
        <f>綾瀬!BO13</f>
        <v>133.65390120704132</v>
      </c>
      <c r="BN105" s="683">
        <f t="shared" si="27"/>
        <v>0.99664543499555891</v>
      </c>
      <c r="BY105" s="674">
        <f>綾瀬!CA13</f>
        <v>15.84545</v>
      </c>
      <c r="BZ105" s="683">
        <f t="shared" si="28"/>
        <v>0.57830109489051096</v>
      </c>
    </row>
    <row r="106" spans="2:78" s="622" customFormat="1" x14ac:dyDescent="0.2">
      <c r="B106" s="674">
        <f>綾瀬!D14</f>
        <v>21</v>
      </c>
      <c r="BL106" s="682">
        <f>綾瀬!BN14</f>
        <v>69.971982432227776</v>
      </c>
      <c r="BM106" s="682">
        <f>綾瀬!BO14</f>
        <v>63.452158773414816</v>
      </c>
      <c r="BN106" s="683">
        <f t="shared" si="27"/>
        <v>1.1027518020638982</v>
      </c>
      <c r="BY106" s="674">
        <f>綾瀬!CA14</f>
        <v>11.236510000000001</v>
      </c>
      <c r="BZ106" s="683">
        <f t="shared" si="28"/>
        <v>0.5350719047619048</v>
      </c>
    </row>
    <row r="107" spans="2:78" s="622" customFormat="1" x14ac:dyDescent="0.2">
      <c r="B107" s="674">
        <f>綾瀬!D15</f>
        <v>25.4</v>
      </c>
      <c r="BL107" s="682">
        <f>綾瀬!BN15</f>
        <v>88.371952142965313</v>
      </c>
      <c r="BM107" s="682">
        <f>綾瀬!BO15</f>
        <v>83.257841639484141</v>
      </c>
      <c r="BN107" s="683">
        <f t="shared" si="27"/>
        <v>1.0614249709429875</v>
      </c>
      <c r="BY107" s="674">
        <f>綾瀬!CA15</f>
        <v>13.28809</v>
      </c>
      <c r="BZ107" s="683">
        <f t="shared" si="28"/>
        <v>0.52315314960629922</v>
      </c>
    </row>
    <row r="108" spans="2:78" x14ac:dyDescent="0.2">
      <c r="B108" s="564">
        <f>綾瀬!D16</f>
        <v>37</v>
      </c>
      <c r="BL108" s="563">
        <f>綾瀬!BN16</f>
        <v>299.66113887626835</v>
      </c>
      <c r="BM108" s="563">
        <f>綾瀬!BO16</f>
        <v>261.92187263443304</v>
      </c>
      <c r="BN108" s="611">
        <f t="shared" si="27"/>
        <v>1.1440859667894494</v>
      </c>
      <c r="BY108" s="564">
        <f>綾瀬!CA16</f>
        <v>27.810480000000002</v>
      </c>
      <c r="BZ108" s="611">
        <f t="shared" si="28"/>
        <v>0.7516345945945947</v>
      </c>
    </row>
    <row r="109" spans="2:78" s="622" customFormat="1" x14ac:dyDescent="0.2">
      <c r="B109" s="674">
        <f>綾瀬!D17</f>
        <v>39.799999999999997</v>
      </c>
      <c r="BL109" s="682">
        <f>綾瀬!BN17</f>
        <v>188.74886415265789</v>
      </c>
      <c r="BM109" s="682">
        <f>綾瀬!BO17</f>
        <v>174.13165971620077</v>
      </c>
      <c r="BN109" s="683">
        <f t="shared" si="27"/>
        <v>1.0839434050090615</v>
      </c>
      <c r="BY109" s="674">
        <f>綾瀬!CA17</f>
        <v>20.525749999999999</v>
      </c>
      <c r="BZ109" s="683">
        <f t="shared" si="28"/>
        <v>0.51572236180904518</v>
      </c>
    </row>
    <row r="110" spans="2:78" s="622" customFormat="1" x14ac:dyDescent="0.2">
      <c r="B110" s="684">
        <f>綾瀬!D18</f>
        <v>26.3</v>
      </c>
      <c r="BL110" s="685">
        <f>綾瀬!BN18</f>
        <v>137.42393608965619</v>
      </c>
      <c r="BM110" s="685">
        <f>綾瀬!BO18</f>
        <v>129.49156309784328</v>
      </c>
      <c r="BN110" s="683">
        <f t="shared" si="27"/>
        <v>1.0612578364338627</v>
      </c>
      <c r="BY110" s="684">
        <f>綾瀬!CA18</f>
        <v>16.467380000000002</v>
      </c>
      <c r="BZ110" s="683">
        <f t="shared" si="28"/>
        <v>0.62613612167300392</v>
      </c>
    </row>
    <row r="111" spans="2:78" x14ac:dyDescent="0.2">
      <c r="B111" s="678">
        <f>多摩!D12</f>
        <v>21.5</v>
      </c>
      <c r="BL111" s="681">
        <f>多摩!BN12</f>
        <v>142.24500227169469</v>
      </c>
      <c r="BM111" s="681">
        <f>多摩!BO12</f>
        <v>142.7192699946323</v>
      </c>
      <c r="BN111" s="611">
        <f t="shared" si="27"/>
        <v>0.99667691880041531</v>
      </c>
      <c r="BY111" s="678">
        <f>多摩!CA12</f>
        <v>16.760009999999998</v>
      </c>
      <c r="BZ111" s="611">
        <f t="shared" si="28"/>
        <v>0.77953534883720921</v>
      </c>
    </row>
    <row r="112" spans="2:78" s="622" customFormat="1" x14ac:dyDescent="0.2">
      <c r="B112" s="686">
        <f>多摩!D13</f>
        <v>29.2</v>
      </c>
      <c r="BL112" s="687">
        <f>多摩!BN13</f>
        <v>136.10423292442829</v>
      </c>
      <c r="BM112" s="687">
        <f>多摩!BO13</f>
        <v>134.42431561996779</v>
      </c>
      <c r="BN112" s="683">
        <f t="shared" si="27"/>
        <v>1.012497123728789</v>
      </c>
      <c r="BY112" s="686">
        <f>多摩!CA13</f>
        <v>15.520709999999999</v>
      </c>
      <c r="BZ112" s="683">
        <f t="shared" si="28"/>
        <v>0.53153116438356163</v>
      </c>
    </row>
    <row r="113" spans="2:78" x14ac:dyDescent="0.2">
      <c r="B113" s="587">
        <f>多摩!D14</f>
        <v>26.9</v>
      </c>
      <c r="BL113" s="679">
        <f>多摩!BN14</f>
        <v>239.00310464940176</v>
      </c>
      <c r="BM113" s="679">
        <f>多摩!BO14</f>
        <v>225.56841047662306</v>
      </c>
      <c r="BN113" s="611">
        <f t="shared" si="27"/>
        <v>1.0595592891060914</v>
      </c>
      <c r="BY113" s="587">
        <f>多摩!CA14</f>
        <v>22.53961</v>
      </c>
      <c r="BZ113" s="611">
        <f t="shared" si="28"/>
        <v>0.837903717472119</v>
      </c>
    </row>
    <row r="114" spans="2:78" x14ac:dyDescent="0.2">
      <c r="B114" s="587">
        <f>多摩!D15</f>
        <v>25</v>
      </c>
      <c r="BL114" s="679">
        <f>多摩!BN15</f>
        <v>216.98583976980163</v>
      </c>
      <c r="BM114" s="679">
        <f>多摩!BO15</f>
        <v>205.98091718623121</v>
      </c>
      <c r="BN114" s="611">
        <f t="shared" si="27"/>
        <v>1.0534269034913593</v>
      </c>
      <c r="BY114" s="587">
        <f>多摩!CA15</f>
        <v>20.802710000000001</v>
      </c>
      <c r="BZ114" s="611">
        <f t="shared" si="28"/>
        <v>0.83210840000000008</v>
      </c>
    </row>
    <row r="115" spans="2:78" x14ac:dyDescent="0.2">
      <c r="B115" s="587">
        <f>多摩!D16</f>
        <v>32.299999999999997</v>
      </c>
      <c r="BL115" s="679">
        <f>多摩!BN16</f>
        <v>319.79668332576102</v>
      </c>
      <c r="BM115" s="679">
        <f>多摩!BO16</f>
        <v>305.87725890141354</v>
      </c>
      <c r="BN115" s="611">
        <f t="shared" si="27"/>
        <v>1.0455065684658624</v>
      </c>
      <c r="BY115" s="587">
        <f>多摩!CA16</f>
        <v>28.190709999999999</v>
      </c>
      <c r="BZ115" s="611">
        <f t="shared" si="28"/>
        <v>0.87277739938080501</v>
      </c>
    </row>
    <row r="116" spans="2:78" x14ac:dyDescent="0.2">
      <c r="B116" s="587">
        <f>多摩!D17</f>
        <v>26.7</v>
      </c>
      <c r="BL116" s="679">
        <f>多摩!BN17</f>
        <v>232.63327275480842</v>
      </c>
      <c r="BM116" s="679">
        <f>多摩!BO17</f>
        <v>212.11636869124789</v>
      </c>
      <c r="BN116" s="611">
        <f t="shared" si="27"/>
        <v>1.0967247562748186</v>
      </c>
      <c r="BY116" s="587">
        <f>多摩!CA17</f>
        <v>24.119790000000002</v>
      </c>
      <c r="BZ116" s="611">
        <f t="shared" si="28"/>
        <v>0.90336292134831475</v>
      </c>
    </row>
    <row r="117" spans="2:78" x14ac:dyDescent="0.2">
      <c r="B117" s="677">
        <f>多摩!D18</f>
        <v>24</v>
      </c>
      <c r="BL117" s="680">
        <f>多摩!BN18</f>
        <v>231.82682114190519</v>
      </c>
      <c r="BM117" s="680">
        <f>多摩!BO18</f>
        <v>213.09943983373938</v>
      </c>
      <c r="BN117" s="611">
        <f t="shared" si="27"/>
        <v>1.087880950427542</v>
      </c>
      <c r="BY117" s="677">
        <f>多摩!CA18</f>
        <v>21.058609999999998</v>
      </c>
      <c r="BZ117" s="611">
        <f t="shared" si="28"/>
        <v>0.87744208333333329</v>
      </c>
    </row>
    <row r="118" spans="2:78" x14ac:dyDescent="0.2">
      <c r="B118" s="678">
        <f>大和!D12</f>
        <v>15.6</v>
      </c>
      <c r="BL118" s="681">
        <f>大和!BN12</f>
        <v>98.909662274723601</v>
      </c>
      <c r="BM118" s="681">
        <f>大和!BO12</f>
        <v>104.55027939496537</v>
      </c>
      <c r="BN118" s="611">
        <f t="shared" si="27"/>
        <v>0.94604876091308276</v>
      </c>
      <c r="BY118" s="678">
        <f>大和!CA12</f>
        <v>14.925094999999999</v>
      </c>
      <c r="BZ118" s="611">
        <f t="shared" si="28"/>
        <v>0.95673685897435889</v>
      </c>
    </row>
    <row r="119" spans="2:78" x14ac:dyDescent="0.2">
      <c r="B119" s="587">
        <f>大和!D13</f>
        <v>26.3</v>
      </c>
      <c r="BL119" s="679">
        <f>大和!BN13</f>
        <v>201.79944722096016</v>
      </c>
      <c r="BM119" s="679">
        <f>大和!BO13</f>
        <v>199.59401709401709</v>
      </c>
      <c r="BN119" s="611">
        <f t="shared" si="27"/>
        <v>1.0110495803383936</v>
      </c>
      <c r="BY119" s="587">
        <f>大和!CA13</f>
        <v>22.908034000000001</v>
      </c>
      <c r="BZ119" s="611">
        <f t="shared" si="28"/>
        <v>0.87102790874524716</v>
      </c>
    </row>
    <row r="120" spans="2:78" x14ac:dyDescent="0.2">
      <c r="B120" s="587">
        <f>大和!D14</f>
        <v>22.5</v>
      </c>
      <c r="BL120" s="679">
        <f>大和!BN14</f>
        <v>197.31019990913219</v>
      </c>
      <c r="BM120" s="679">
        <f>大和!BO14</f>
        <v>182.91203462845976</v>
      </c>
      <c r="BN120" s="611">
        <f t="shared" si="27"/>
        <v>1.0787163365708479</v>
      </c>
      <c r="BY120" s="587">
        <f>大和!CA14</f>
        <v>19.113225000000003</v>
      </c>
      <c r="BZ120" s="611">
        <f t="shared" si="28"/>
        <v>0.84947666666666677</v>
      </c>
    </row>
    <row r="121" spans="2:78" x14ac:dyDescent="0.2">
      <c r="B121" s="587">
        <f>大和!D15</f>
        <v>23.5</v>
      </c>
      <c r="BL121" s="679">
        <f>大和!BN15</f>
        <v>211.89353324246554</v>
      </c>
      <c r="BM121" s="679">
        <f>大和!BO15</f>
        <v>204.43486518848837</v>
      </c>
      <c r="BN121" s="611">
        <f t="shared" si="27"/>
        <v>1.0364843249565101</v>
      </c>
      <c r="BY121" s="587">
        <f>大和!CA15</f>
        <v>20.928377000000001</v>
      </c>
      <c r="BZ121" s="611">
        <f t="shared" si="28"/>
        <v>0.89056923404255328</v>
      </c>
    </row>
    <row r="122" spans="2:78" x14ac:dyDescent="0.2">
      <c r="B122" s="587">
        <f>大和!D16</f>
        <v>30</v>
      </c>
      <c r="BL122" s="679">
        <f>大和!BN16</f>
        <v>336.24837195214297</v>
      </c>
      <c r="BM122" s="679">
        <f>大和!BO16</f>
        <v>307.61120263704811</v>
      </c>
      <c r="BN122" s="611">
        <f t="shared" si="27"/>
        <v>1.0930953394076612</v>
      </c>
      <c r="BY122" s="587">
        <f>大和!CA16</f>
        <v>28.505815999999999</v>
      </c>
      <c r="BZ122" s="611">
        <f t="shared" si="28"/>
        <v>0.95019386666666661</v>
      </c>
    </row>
    <row r="123" spans="2:78" x14ac:dyDescent="0.2">
      <c r="B123" s="587">
        <f>大和!D17</f>
        <v>29.8</v>
      </c>
      <c r="BL123" s="679">
        <f>大和!BN17</f>
        <v>273.74837195214297</v>
      </c>
      <c r="BM123" s="679">
        <f>大和!BO17</f>
        <v>252.06779044001266</v>
      </c>
      <c r="BN123" s="611">
        <f t="shared" si="27"/>
        <v>1.0860109158503926</v>
      </c>
      <c r="BY123" s="587">
        <f>大和!CA17</f>
        <v>26.164984000000004</v>
      </c>
      <c r="BZ123" s="611">
        <f t="shared" si="28"/>
        <v>0.87801959731543633</v>
      </c>
    </row>
    <row r="124" spans="2:78" x14ac:dyDescent="0.2">
      <c r="B124" s="677">
        <f>大和!D18</f>
        <v>28.8</v>
      </c>
      <c r="BL124" s="680">
        <f>大和!BN18</f>
        <v>315.25374829622899</v>
      </c>
      <c r="BM124" s="680">
        <f>大和!BO18</f>
        <v>292.47742612549382</v>
      </c>
      <c r="BN124" s="611">
        <f t="shared" si="27"/>
        <v>1.0778737780636871</v>
      </c>
      <c r="BY124" s="677">
        <f>大和!CA18</f>
        <v>27.492240000000002</v>
      </c>
      <c r="BZ124" s="611">
        <f t="shared" si="28"/>
        <v>0.95459166666666673</v>
      </c>
    </row>
    <row r="125" spans="2:78" x14ac:dyDescent="0.2">
      <c r="B125" s="678">
        <f>横浜!D12</f>
        <v>14</v>
      </c>
      <c r="BL125" s="681">
        <f>横浜!BN12</f>
        <v>97.84832651824928</v>
      </c>
      <c r="BM125" s="681">
        <f>横浜!BO12</f>
        <v>96.366853847530194</v>
      </c>
      <c r="BN125" s="611">
        <f t="shared" si="27"/>
        <v>1.0153732597005092</v>
      </c>
      <c r="BY125" s="678">
        <f>横浜!CA12</f>
        <v>12.861388999999999</v>
      </c>
      <c r="BZ125" s="611">
        <f t="shared" si="28"/>
        <v>0.91867064285714284</v>
      </c>
    </row>
    <row r="126" spans="2:78" x14ac:dyDescent="0.2">
      <c r="B126" s="587">
        <f>横浜!D13</f>
        <v>26.2</v>
      </c>
      <c r="BL126" s="679">
        <f>横浜!BN13</f>
        <v>231.06126003331818</v>
      </c>
      <c r="BM126" s="679">
        <f>横浜!BO13</f>
        <v>254.83131701006096</v>
      </c>
      <c r="BN126" s="611">
        <f t="shared" si="27"/>
        <v>0.90672238696704488</v>
      </c>
      <c r="BY126" s="587">
        <f>横浜!CA13</f>
        <v>25.165191999999994</v>
      </c>
      <c r="BZ126" s="611">
        <f t="shared" si="28"/>
        <v>0.96050351145038149</v>
      </c>
    </row>
    <row r="127" spans="2:78" x14ac:dyDescent="0.2">
      <c r="B127" s="587">
        <f>横浜!D14</f>
        <v>19.8</v>
      </c>
      <c r="BL127" s="679">
        <f>横浜!BN14</f>
        <v>194.69729668332579</v>
      </c>
      <c r="BM127" s="679">
        <f>横浜!BO14</f>
        <v>216.55267902610899</v>
      </c>
      <c r="BN127" s="611">
        <f t="shared" si="27"/>
        <v>0.89907590873005006</v>
      </c>
      <c r="BY127" s="587">
        <f>横浜!CA14</f>
        <v>18.667674000000002</v>
      </c>
      <c r="BZ127" s="611">
        <f t="shared" si="28"/>
        <v>0.94281181818181825</v>
      </c>
    </row>
    <row r="128" spans="2:78" x14ac:dyDescent="0.2">
      <c r="B128" s="587">
        <f>横浜!D15</f>
        <v>25.4</v>
      </c>
      <c r="BL128" s="679">
        <f>横浜!BN15</f>
        <v>272.24405573224294</v>
      </c>
      <c r="BM128" s="679">
        <f>横浜!BO15</f>
        <v>291.97675378834805</v>
      </c>
      <c r="BN128" s="611">
        <f t="shared" si="27"/>
        <v>0.93241688661827782</v>
      </c>
      <c r="BY128" s="587">
        <f>横浜!CA15</f>
        <v>23.914169999999999</v>
      </c>
      <c r="BZ128" s="611">
        <f t="shared" si="28"/>
        <v>0.9415027559055118</v>
      </c>
    </row>
    <row r="129" spans="2:78" x14ac:dyDescent="0.2">
      <c r="B129" s="587">
        <f>横浜!D16</f>
        <v>33.799999999999997</v>
      </c>
      <c r="BL129" s="679">
        <f>横浜!BN16</f>
        <v>375.62471603816448</v>
      </c>
      <c r="BM129" s="679">
        <f>横浜!BO16</f>
        <v>357.45241339444237</v>
      </c>
      <c r="BN129" s="611">
        <f t="shared" si="27"/>
        <v>1.0508383828525709</v>
      </c>
      <c r="BY129" s="587">
        <f>横浜!CA16</f>
        <v>31.331067999999998</v>
      </c>
      <c r="BZ129" s="611">
        <f t="shared" si="28"/>
        <v>0.92695467455621305</v>
      </c>
    </row>
    <row r="130" spans="2:78" x14ac:dyDescent="0.2">
      <c r="B130" s="587">
        <f>横浜!D17</f>
        <v>35.5</v>
      </c>
      <c r="BL130" s="679">
        <f>横浜!BN17</f>
        <v>375.92685143116768</v>
      </c>
      <c r="BM130" s="679">
        <f>横浜!BO17</f>
        <v>398.68411164787983</v>
      </c>
      <c r="BN130" s="611">
        <f t="shared" si="27"/>
        <v>0.94291906912806323</v>
      </c>
      <c r="BY130" s="587">
        <f>横浜!CA17</f>
        <v>33.381008000000008</v>
      </c>
      <c r="BZ130" s="611">
        <f t="shared" si="28"/>
        <v>0.94031008450704245</v>
      </c>
    </row>
    <row r="131" spans="2:78" x14ac:dyDescent="0.2">
      <c r="B131" s="677">
        <f>横浜!D18</f>
        <v>31</v>
      </c>
      <c r="BL131" s="680">
        <f>横浜!BN18</f>
        <v>375.60427078600634</v>
      </c>
      <c r="BM131" s="680">
        <f>横浜!BO18</f>
        <v>392.24791141940904</v>
      </c>
      <c r="BN131" s="611">
        <f t="shared" si="27"/>
        <v>0.95756856786521782</v>
      </c>
      <c r="BY131" s="677">
        <f>横浜!CA18</f>
        <v>30.917208000000006</v>
      </c>
      <c r="BZ131" s="611">
        <f t="shared" si="28"/>
        <v>0.99732929032258089</v>
      </c>
    </row>
    <row r="132" spans="2:78" x14ac:dyDescent="0.2">
      <c r="B132" s="678">
        <f>川崎!D12</f>
        <v>15.6</v>
      </c>
      <c r="BL132" s="681">
        <f>川崎!BN12</f>
        <v>116.49837195214296</v>
      </c>
      <c r="BM132" s="681">
        <f>川崎!BO12</f>
        <v>114.34380926820538</v>
      </c>
      <c r="BN132" s="611">
        <f t="shared" si="27"/>
        <v>1.0188428450803473</v>
      </c>
      <c r="BY132" s="678">
        <f>川崎!CA12</f>
        <v>16.826103999999997</v>
      </c>
      <c r="BZ132" s="611">
        <f t="shared" si="28"/>
        <v>1.0785964102564101</v>
      </c>
    </row>
    <row r="133" spans="2:78" x14ac:dyDescent="0.2">
      <c r="B133" s="587">
        <f>川崎!D13</f>
        <v>23.9</v>
      </c>
      <c r="BL133" s="679">
        <f>川崎!BN13</f>
        <v>205.72686657579891</v>
      </c>
      <c r="BM133" s="679">
        <f>川崎!BO13</f>
        <v>207.48604814401915</v>
      </c>
      <c r="BN133" s="611">
        <f t="shared" si="27"/>
        <v>0.99152144645890039</v>
      </c>
      <c r="BY133" s="587">
        <f>川崎!CA13</f>
        <v>24.08925</v>
      </c>
      <c r="BZ133" s="611">
        <f t="shared" si="28"/>
        <v>1.007918410041841</v>
      </c>
    </row>
    <row r="134" spans="2:78" x14ac:dyDescent="0.2">
      <c r="B134" s="587">
        <f>川崎!D14</f>
        <v>21</v>
      </c>
      <c r="BL134" s="679">
        <f>川崎!BN14</f>
        <v>189.15697410268058</v>
      </c>
      <c r="BM134" s="679">
        <f>川崎!BO14</f>
        <v>189.45186767964549</v>
      </c>
      <c r="BN134" s="611">
        <f t="shared" si="27"/>
        <v>0.99844343800577595</v>
      </c>
      <c r="BY134" s="587">
        <f>川崎!CA14</f>
        <v>21.330610999999994</v>
      </c>
      <c r="BZ134" s="611">
        <f t="shared" si="28"/>
        <v>1.0157433809523806</v>
      </c>
    </row>
    <row r="135" spans="2:78" x14ac:dyDescent="0.2">
      <c r="B135" s="587">
        <f>川崎!D15</f>
        <v>25.6</v>
      </c>
      <c r="BL135" s="679">
        <f>川崎!BN15</f>
        <v>274.84514614569133</v>
      </c>
      <c r="BM135" s="679">
        <f>川崎!BO15</f>
        <v>259.94744553174502</v>
      </c>
      <c r="BN135" s="611">
        <f t="shared" si="27"/>
        <v>1.057310432820264</v>
      </c>
      <c r="BY135" s="587">
        <f>川崎!CA15</f>
        <v>26.458977000000004</v>
      </c>
      <c r="BZ135" s="611">
        <f t="shared" si="28"/>
        <v>1.0335537890625002</v>
      </c>
    </row>
    <row r="136" spans="2:78" x14ac:dyDescent="0.2">
      <c r="B136" s="587">
        <f>川崎!D16</f>
        <v>33.6</v>
      </c>
      <c r="BL136" s="679">
        <f>川崎!BN16</f>
        <v>375.8343934575193</v>
      </c>
      <c r="BM136" s="679">
        <f>川崎!BO16</f>
        <v>351.4709931596405</v>
      </c>
      <c r="BN136" s="611">
        <f t="shared" si="27"/>
        <v>1.0693183812378302</v>
      </c>
      <c r="BY136" s="587">
        <f>川崎!CA16</f>
        <v>33.224300000000014</v>
      </c>
      <c r="BZ136" s="611">
        <f t="shared" si="28"/>
        <v>0.98881845238095278</v>
      </c>
    </row>
    <row r="137" spans="2:78" x14ac:dyDescent="0.2">
      <c r="B137" s="587">
        <f>川崎!D17</f>
        <v>32.9</v>
      </c>
      <c r="BL137" s="679">
        <f>川崎!BN17</f>
        <v>313.41503861880966</v>
      </c>
      <c r="BM137" s="679">
        <f>川崎!BO17</f>
        <v>299.3303700951044</v>
      </c>
      <c r="BN137" s="611">
        <f t="shared" si="27"/>
        <v>1.0470539241281471</v>
      </c>
      <c r="BY137" s="587">
        <f>川崎!CA17</f>
        <v>30.371378</v>
      </c>
      <c r="BZ137" s="611">
        <f t="shared" si="28"/>
        <v>0.92314218844984808</v>
      </c>
    </row>
    <row r="138" spans="2:78" x14ac:dyDescent="0.2">
      <c r="B138" s="677">
        <f>川崎!D18</f>
        <v>32.9</v>
      </c>
      <c r="BL138" s="680">
        <f>川崎!BN18</f>
        <v>355.16235044676665</v>
      </c>
      <c r="BM138" s="680">
        <f>川崎!BO18</f>
        <v>330.16306756403378</v>
      </c>
      <c r="BN138" s="611">
        <f t="shared" si="27"/>
        <v>1.0757179870758391</v>
      </c>
      <c r="BY138" s="677">
        <f>川崎!CA18</f>
        <v>31.767984000000002</v>
      </c>
      <c r="BZ138" s="611">
        <f t="shared" si="28"/>
        <v>0.96559221884498492</v>
      </c>
    </row>
    <row r="139" spans="2:78" x14ac:dyDescent="0.2">
      <c r="B139" s="678">
        <f>相模原!D12</f>
        <v>20.6</v>
      </c>
      <c r="BL139" s="681">
        <f>相模原!BN12</f>
        <v>124.95854157201273</v>
      </c>
      <c r="BM139" s="681">
        <f>相模原!BO12</f>
        <v>129.05669790935491</v>
      </c>
      <c r="BN139" s="611">
        <f t="shared" si="27"/>
        <v>0.96824530300457101</v>
      </c>
      <c r="BY139" s="678">
        <f>相模原!CA12</f>
        <v>19.720545000000001</v>
      </c>
      <c r="BZ139" s="611">
        <f t="shared" si="28"/>
        <v>0.95730800970873786</v>
      </c>
    </row>
    <row r="140" spans="2:78" x14ac:dyDescent="0.2">
      <c r="B140" s="587">
        <f>相模原!D13</f>
        <v>28.9</v>
      </c>
      <c r="BL140" s="679">
        <f>相模原!BN13</f>
        <v>206.08814175374829</v>
      </c>
      <c r="BM140" s="679">
        <f>相模原!BO13</f>
        <v>229.79596597712538</v>
      </c>
      <c r="BN140" s="611">
        <f t="shared" si="27"/>
        <v>0.89683098168164954</v>
      </c>
      <c r="BY140" s="587">
        <f>相模原!CA13</f>
        <v>26.261632999999996</v>
      </c>
      <c r="BZ140" s="611">
        <f t="shared" si="28"/>
        <v>0.90870702422145322</v>
      </c>
    </row>
    <row r="141" spans="2:78" x14ac:dyDescent="0.2">
      <c r="B141" s="587">
        <f>相模原!D14</f>
        <v>25.8</v>
      </c>
      <c r="BL141" s="679">
        <f>相模原!BN14</f>
        <v>253.50749659245798</v>
      </c>
      <c r="BM141" s="679">
        <f>相模原!BO14</f>
        <v>260.24549596047183</v>
      </c>
      <c r="BN141" s="611">
        <f t="shared" si="27"/>
        <v>0.97410906443108136</v>
      </c>
      <c r="BY141" s="587">
        <f>相模原!CA14</f>
        <v>24.242736000000004</v>
      </c>
      <c r="BZ141" s="611">
        <f t="shared" si="28"/>
        <v>0.93964093023255824</v>
      </c>
    </row>
    <row r="142" spans="2:78" x14ac:dyDescent="0.2">
      <c r="B142" s="587">
        <f>相模原!D15</f>
        <v>24.5</v>
      </c>
      <c r="BL142" s="679">
        <f>相模原!BN15</f>
        <v>208.3263289413903</v>
      </c>
      <c r="BM142" s="679">
        <f>相模原!BO15</f>
        <v>223.8558638534484</v>
      </c>
      <c r="BN142" s="611">
        <f t="shared" si="27"/>
        <v>0.93062708010085982</v>
      </c>
      <c r="BY142" s="587">
        <f>相模原!CA15</f>
        <v>21.474524000000002</v>
      </c>
      <c r="BZ142" s="611">
        <f t="shared" si="28"/>
        <v>0.87651118367346947</v>
      </c>
    </row>
    <row r="143" spans="2:78" x14ac:dyDescent="0.2">
      <c r="B143" s="587">
        <f>相模原!D16</f>
        <v>31.2</v>
      </c>
      <c r="BL143" s="679">
        <f>相模原!BN16</f>
        <v>314.25374829622899</v>
      </c>
      <c r="BM143" s="679">
        <f>相模原!BO16</f>
        <v>322.81932917681712</v>
      </c>
      <c r="BN143" s="611">
        <f t="shared" si="27"/>
        <v>0.97346633207363953</v>
      </c>
      <c r="BY143" s="587">
        <f>相模原!CA16</f>
        <v>29.113353</v>
      </c>
      <c r="BZ143" s="611">
        <f t="shared" si="28"/>
        <v>0.93312028846153849</v>
      </c>
    </row>
    <row r="144" spans="2:78" x14ac:dyDescent="0.2">
      <c r="B144" s="587">
        <f>相模原!D17</f>
        <v>25.4</v>
      </c>
      <c r="BL144" s="679">
        <f>相模原!BN17</f>
        <v>203.93703619566861</v>
      </c>
      <c r="BM144" s="679">
        <f>相模原!BO17</f>
        <v>226.91971179652339</v>
      </c>
      <c r="BN144" s="611">
        <f t="shared" si="27"/>
        <v>0.89871891067152809</v>
      </c>
      <c r="BY144" s="587">
        <f>相模原!CA17</f>
        <v>23.650920999999997</v>
      </c>
      <c r="BZ144" s="611">
        <f t="shared" si="28"/>
        <v>0.93113862204724407</v>
      </c>
    </row>
    <row r="145" spans="2:78" x14ac:dyDescent="0.2">
      <c r="B145" s="677">
        <f>相模原!D18</f>
        <v>24.1</v>
      </c>
      <c r="BL145" s="680">
        <f>相模原!BN18</f>
        <v>209.90534605482358</v>
      </c>
      <c r="BM145" s="680">
        <f>相模原!BO18</f>
        <v>242.46065761041601</v>
      </c>
      <c r="BN145" s="611">
        <f t="shared" si="27"/>
        <v>0.86572950895851297</v>
      </c>
      <c r="BY145" s="677">
        <f>相模原!CA18</f>
        <v>21.544383</v>
      </c>
      <c r="BZ145" s="611">
        <f t="shared" si="28"/>
        <v>0.89395780082987542</v>
      </c>
    </row>
    <row r="146" spans="2:78" x14ac:dyDescent="0.2">
      <c r="B146" s="678">
        <f>甲府!D12</f>
        <v>13.6</v>
      </c>
      <c r="BL146" s="681">
        <f>甲府!BN12</f>
        <v>71.712024837195216</v>
      </c>
      <c r="BM146" s="681">
        <f>甲府!BO12</f>
        <v>71.964433915520871</v>
      </c>
      <c r="BN146" s="611">
        <f t="shared" si="27"/>
        <v>0.99649258578727984</v>
      </c>
      <c r="BY146" s="678">
        <f>甲府!CA12</f>
        <v>13.605702300000001</v>
      </c>
      <c r="BZ146" s="611">
        <f t="shared" si="28"/>
        <v>1.0004192867647059</v>
      </c>
    </row>
    <row r="147" spans="2:78" x14ac:dyDescent="0.2">
      <c r="B147" s="587">
        <f>甲府!D13</f>
        <v>22.2</v>
      </c>
      <c r="BL147" s="679">
        <f>甲府!BN13</f>
        <v>130.69051946085114</v>
      </c>
      <c r="BM147" s="679">
        <f>甲府!BO13</f>
        <v>137.79434053153861</v>
      </c>
      <c r="BN147" s="611">
        <f t="shared" si="27"/>
        <v>0.94844620582177297</v>
      </c>
      <c r="BY147" s="587">
        <f>甲府!CA13</f>
        <v>18.163736200000002</v>
      </c>
      <c r="BZ147" s="611">
        <f t="shared" si="28"/>
        <v>0.81818631531531549</v>
      </c>
    </row>
    <row r="148" spans="2:78" x14ac:dyDescent="0.2">
      <c r="B148" s="587">
        <f>甲府!D14</f>
        <v>28.3</v>
      </c>
      <c r="BL148" s="679">
        <f>甲府!BN14</f>
        <v>205.41632591246406</v>
      </c>
      <c r="BM148" s="679">
        <f>甲府!BO14</f>
        <v>212.752576489533</v>
      </c>
      <c r="BN148" s="611">
        <f t="shared" si="27"/>
        <v>0.96551745366322339</v>
      </c>
      <c r="BY148" s="587">
        <f>甲府!CA14</f>
        <v>23.819775</v>
      </c>
      <c r="BZ148" s="611">
        <f t="shared" si="28"/>
        <v>0.84168816254416956</v>
      </c>
    </row>
    <row r="149" spans="2:78" x14ac:dyDescent="0.2">
      <c r="B149" s="587">
        <f>甲府!D15</f>
        <v>19.8</v>
      </c>
      <c r="BL149" s="679">
        <f>甲府!BN15</f>
        <v>146.59912161138877</v>
      </c>
      <c r="BM149" s="679">
        <f>甲府!BO15</f>
        <v>152.38030471943517</v>
      </c>
      <c r="BN149" s="611">
        <f t="shared" si="27"/>
        <v>0.9620608246013761</v>
      </c>
      <c r="BY149" s="587">
        <f>甲府!CA15</f>
        <v>16.415430100000002</v>
      </c>
      <c r="BZ149" s="611">
        <f t="shared" si="28"/>
        <v>0.82906212626262632</v>
      </c>
    </row>
    <row r="150" spans="2:78" x14ac:dyDescent="0.2">
      <c r="B150" s="587">
        <f>甲府!D16</f>
        <v>35.799999999999997</v>
      </c>
      <c r="BL150" s="679">
        <f>甲府!BN16</f>
        <v>333.75234741784038</v>
      </c>
      <c r="BM150" s="679">
        <f>甲府!BO16</f>
        <v>348.70867019007119</v>
      </c>
      <c r="BN150" s="611">
        <f t="shared" si="27"/>
        <v>0.95710940377800602</v>
      </c>
      <c r="BY150" s="587">
        <f>甲府!CA16</f>
        <v>31.524182000000003</v>
      </c>
      <c r="BZ150" s="611">
        <f t="shared" si="28"/>
        <v>0.88056374301675999</v>
      </c>
    </row>
    <row r="151" spans="2:78" x14ac:dyDescent="0.2">
      <c r="B151" s="587">
        <f>甲府!D17</f>
        <v>26</v>
      </c>
      <c r="BL151" s="679">
        <f>甲府!BN17</f>
        <v>209.03460548235651</v>
      </c>
      <c r="BM151" s="679">
        <f>甲府!BO17</f>
        <v>228.03891022200202</v>
      </c>
      <c r="BN151" s="611">
        <f t="shared" si="27"/>
        <v>0.91666200859693503</v>
      </c>
      <c r="BY151" s="587">
        <f>甲府!CA17</f>
        <v>23.236900000000002</v>
      </c>
      <c r="BZ151" s="611">
        <f t="shared" si="28"/>
        <v>0.89372692307692314</v>
      </c>
    </row>
    <row r="152" spans="2:78" x14ac:dyDescent="0.2">
      <c r="B152" s="677">
        <f>甲府!D18</f>
        <v>30.5</v>
      </c>
      <c r="BL152" s="680">
        <f>甲府!BN18</f>
        <v>271.6313796759049</v>
      </c>
      <c r="BM152" s="680">
        <f>甲府!BO18</f>
        <v>285.92569022943428</v>
      </c>
      <c r="BN152" s="611">
        <f t="shared" si="27"/>
        <v>0.95000690374460839</v>
      </c>
      <c r="BY152" s="677">
        <f>甲府!CA18</f>
        <v>27.7269328</v>
      </c>
      <c r="BZ152" s="611">
        <f t="shared" si="28"/>
        <v>0.90907976393442624</v>
      </c>
    </row>
    <row r="153" spans="2:78" x14ac:dyDescent="0.2">
      <c r="B153" s="678">
        <f>吉田!D12</f>
        <v>17.3</v>
      </c>
      <c r="BL153" s="681">
        <f>吉田!BN12</f>
        <v>82.789981826442528</v>
      </c>
      <c r="BM153" s="681">
        <f>吉田!BO12</f>
        <v>89.924919484702087</v>
      </c>
      <c r="BN153" s="611">
        <f t="shared" si="27"/>
        <v>0.92065672453036396</v>
      </c>
      <c r="BY153" s="678">
        <f>吉田!CA12</f>
        <v>15.167214000000001</v>
      </c>
      <c r="BZ153" s="611">
        <f t="shared" si="28"/>
        <v>0.87671757225433533</v>
      </c>
    </row>
    <row r="154" spans="2:78" x14ac:dyDescent="0.2">
      <c r="B154" s="587">
        <f>吉田!D13</f>
        <v>26.8</v>
      </c>
      <c r="BL154" s="679">
        <f>吉田!BN13</f>
        <v>188.16632591246403</v>
      </c>
      <c r="BM154" s="679">
        <f>吉田!BO13</f>
        <v>198.49889962426192</v>
      </c>
      <c r="BN154" s="611">
        <f t="shared" si="27"/>
        <v>0.94794644337396128</v>
      </c>
      <c r="BY154" s="587">
        <f>吉田!CA13</f>
        <v>22.254209299999996</v>
      </c>
      <c r="BZ154" s="611">
        <f t="shared" si="28"/>
        <v>0.83038094402985052</v>
      </c>
    </row>
    <row r="155" spans="2:78" x14ac:dyDescent="0.2">
      <c r="B155" s="587">
        <f>吉田!D14</f>
        <v>27.8</v>
      </c>
      <c r="BL155" s="679">
        <f>吉田!BN14</f>
        <v>230.59374526730272</v>
      </c>
      <c r="BM155" s="679">
        <f>吉田!BO14</f>
        <v>236.82704866702451</v>
      </c>
      <c r="BN155" s="611">
        <f t="shared" ref="BN155:BN194" si="29">BL155/BM155</f>
        <v>0.97367993464088753</v>
      </c>
      <c r="BY155" s="587">
        <f>吉田!CA14</f>
        <v>23.771834999999996</v>
      </c>
      <c r="BZ155" s="611">
        <f t="shared" ref="BZ155:BZ194" si="30">BY155/B155</f>
        <v>0.85510197841726598</v>
      </c>
    </row>
    <row r="156" spans="2:78" x14ac:dyDescent="0.2">
      <c r="B156" s="587">
        <f>吉田!D15</f>
        <v>23.8</v>
      </c>
      <c r="BL156" s="679">
        <f>吉田!BN15</f>
        <v>209.35718612751779</v>
      </c>
      <c r="BM156" s="679">
        <f>吉田!BO15</f>
        <v>219.17420826623726</v>
      </c>
      <c r="BN156" s="611">
        <f t="shared" si="29"/>
        <v>0.95520904482157665</v>
      </c>
      <c r="BY156" s="587">
        <f>吉田!CA15</f>
        <v>20.924062300000003</v>
      </c>
      <c r="BZ156" s="611">
        <f t="shared" si="30"/>
        <v>0.87916228151260511</v>
      </c>
    </row>
    <row r="157" spans="2:78" x14ac:dyDescent="0.2">
      <c r="B157" s="587">
        <f>吉田!D16</f>
        <v>30.3</v>
      </c>
      <c r="BL157" s="679">
        <f>吉田!BN16</f>
        <v>292.08568075117375</v>
      </c>
      <c r="BM157" s="679">
        <f>吉田!BO16</f>
        <v>272.33374451188467</v>
      </c>
      <c r="BN157" s="611">
        <f t="shared" si="29"/>
        <v>1.0725284201364444</v>
      </c>
      <c r="BY157" s="587">
        <f>吉田!CA16</f>
        <v>28.515262</v>
      </c>
      <c r="BZ157" s="611">
        <f t="shared" si="30"/>
        <v>0.94109775577557753</v>
      </c>
    </row>
    <row r="158" spans="2:78" x14ac:dyDescent="0.2">
      <c r="B158" s="587">
        <f>吉田!D17</f>
        <v>29.7</v>
      </c>
      <c r="BL158" s="679">
        <f>吉田!BN17</f>
        <v>292.08568075117375</v>
      </c>
      <c r="BM158" s="679">
        <f>吉田!BO17</f>
        <v>280.10435161099412</v>
      </c>
      <c r="BN158" s="611">
        <f t="shared" si="29"/>
        <v>1.0427745198218812</v>
      </c>
      <c r="BY158" s="587">
        <f>吉田!CA17</f>
        <v>26.980233000000002</v>
      </c>
      <c r="BZ158" s="611">
        <f t="shared" si="30"/>
        <v>0.90842535353535359</v>
      </c>
    </row>
    <row r="159" spans="2:78" x14ac:dyDescent="0.2">
      <c r="B159" s="677">
        <f>吉田!D18</f>
        <v>30.9</v>
      </c>
      <c r="BL159" s="680">
        <f>吉田!BN18</f>
        <v>313.20127214902317</v>
      </c>
      <c r="BM159" s="680">
        <f>吉田!BO18</f>
        <v>304.76591725504778</v>
      </c>
      <c r="BN159" s="611">
        <f t="shared" si="29"/>
        <v>1.0276781438356053</v>
      </c>
      <c r="BY159" s="677">
        <f>吉田!CA18</f>
        <v>29.761173000000007</v>
      </c>
      <c r="BZ159" s="611">
        <f t="shared" si="30"/>
        <v>0.96314475728155369</v>
      </c>
    </row>
    <row r="160" spans="2:78" x14ac:dyDescent="0.2">
      <c r="B160" s="678">
        <f>長野!D12</f>
        <v>12.7</v>
      </c>
      <c r="BL160" s="681">
        <f>長野!BN12</f>
        <v>37.79513100106012</v>
      </c>
      <c r="BM160" s="681">
        <f>長野!BO12</f>
        <v>42.289962426194307</v>
      </c>
      <c r="BN160" s="611">
        <f t="shared" si="29"/>
        <v>0.89371398868044161</v>
      </c>
      <c r="BY160" s="678">
        <f>長野!CA12</f>
        <v>9.1106359999999995</v>
      </c>
      <c r="BZ160" s="611">
        <f t="shared" si="30"/>
        <v>0.71737291338582676</v>
      </c>
    </row>
    <row r="161" spans="2:78" x14ac:dyDescent="0.2">
      <c r="B161" s="587">
        <f>長野!D13</f>
        <v>12.3</v>
      </c>
      <c r="BL161" s="679">
        <f>長野!BN13</f>
        <v>82.838141753748303</v>
      </c>
      <c r="BM161" s="679">
        <f>長野!BO13</f>
        <v>82.506092324208268</v>
      </c>
      <c r="BN161" s="611">
        <f t="shared" si="29"/>
        <v>1.0040245443722537</v>
      </c>
      <c r="BY161" s="587">
        <f>長野!CA13</f>
        <v>9.7886259999999989</v>
      </c>
      <c r="BZ161" s="611">
        <f t="shared" si="30"/>
        <v>0.79582325203252025</v>
      </c>
    </row>
    <row r="162" spans="2:78" x14ac:dyDescent="0.2">
      <c r="B162" s="587">
        <f>長野!D14</f>
        <v>17.5</v>
      </c>
      <c r="BL162" s="679">
        <f>長野!BN14</f>
        <v>153.69195820081779</v>
      </c>
      <c r="BM162" s="679">
        <f>長野!BO14</f>
        <v>143.92038275733933</v>
      </c>
      <c r="BN162" s="611">
        <f t="shared" si="29"/>
        <v>1.0678957021671773</v>
      </c>
      <c r="BY162" s="587">
        <f>長野!CA14</f>
        <v>14.374077000000003</v>
      </c>
      <c r="BZ162" s="611">
        <f t="shared" si="30"/>
        <v>0.82137582857142877</v>
      </c>
    </row>
    <row r="163" spans="2:78" x14ac:dyDescent="0.2">
      <c r="B163" s="587">
        <f>長野!D15</f>
        <v>23</v>
      </c>
      <c r="BL163" s="679">
        <f>長野!BN15</f>
        <v>210.99348780857187</v>
      </c>
      <c r="BM163" s="679">
        <f>長野!BO15</f>
        <v>196.85703373384533</v>
      </c>
      <c r="BN163" s="611">
        <f t="shared" si="29"/>
        <v>1.0718107644242945</v>
      </c>
      <c r="BY163" s="587">
        <f>長野!CA15</f>
        <v>18.882715999999999</v>
      </c>
      <c r="BZ163" s="611">
        <f t="shared" si="30"/>
        <v>0.82098765217391301</v>
      </c>
    </row>
    <row r="164" spans="2:78" x14ac:dyDescent="0.2">
      <c r="B164" s="587">
        <f>長野!D16</f>
        <v>26.6</v>
      </c>
      <c r="BL164" s="679">
        <f>長野!BN16</f>
        <v>230.85953354535815</v>
      </c>
      <c r="BM164" s="679">
        <f>長野!BO16</f>
        <v>208.0292373756142</v>
      </c>
      <c r="BN164" s="611">
        <f t="shared" si="29"/>
        <v>1.1097456129617105</v>
      </c>
      <c r="BY164" s="587">
        <f>長野!CA16</f>
        <v>21.797176</v>
      </c>
      <c r="BZ164" s="611">
        <f t="shared" si="30"/>
        <v>0.81944270676691722</v>
      </c>
    </row>
    <row r="165" spans="2:78" x14ac:dyDescent="0.2">
      <c r="B165" s="587">
        <f>長野!D17</f>
        <v>22.4</v>
      </c>
      <c r="BL165" s="679">
        <f>長野!BN17</f>
        <v>170.46694684234436</v>
      </c>
      <c r="BM165" s="679">
        <f>長野!BO17</f>
        <v>164.91206009056251</v>
      </c>
      <c r="BN165" s="611">
        <f t="shared" si="29"/>
        <v>1.0336839328108045</v>
      </c>
      <c r="BY165" s="587">
        <f>長野!CA17</f>
        <v>18.747662999999999</v>
      </c>
      <c r="BZ165" s="611">
        <f t="shared" si="30"/>
        <v>0.83694924107142854</v>
      </c>
    </row>
    <row r="166" spans="2:78" x14ac:dyDescent="0.2">
      <c r="B166" s="677">
        <f>長野!D18</f>
        <v>20</v>
      </c>
      <c r="BL166" s="680">
        <f>長野!BN18</f>
        <v>126.84984098137211</v>
      </c>
      <c r="BM166" s="680">
        <f>長野!BO18</f>
        <v>122.06419271370963</v>
      </c>
      <c r="BN166" s="611">
        <f t="shared" si="29"/>
        <v>1.0392059961342373</v>
      </c>
      <c r="BY166" s="677">
        <f>長野!CA18</f>
        <v>15.606549999999997</v>
      </c>
      <c r="BZ166" s="611">
        <f t="shared" si="30"/>
        <v>0.78032749999999984</v>
      </c>
    </row>
    <row r="167" spans="2:78" x14ac:dyDescent="0.2">
      <c r="B167" s="678">
        <f>富士!D12</f>
        <v>11.2</v>
      </c>
      <c r="BL167" s="681">
        <f>富士!BN12</f>
        <v>92.669256398606692</v>
      </c>
      <c r="BM167" s="681">
        <f>富士!BO12</f>
        <v>100.18477228622156</v>
      </c>
      <c r="BN167" s="611">
        <f t="shared" si="29"/>
        <v>0.92498345091663714</v>
      </c>
      <c r="BY167" s="678">
        <f>富士!CA12</f>
        <v>9.7696530000000035</v>
      </c>
      <c r="BZ167" s="611">
        <f t="shared" si="30"/>
        <v>0.87229044642857179</v>
      </c>
    </row>
    <row r="168" spans="2:78" x14ac:dyDescent="0.2">
      <c r="B168" s="587">
        <f>富士!D13</f>
        <v>26.3</v>
      </c>
      <c r="BL168" s="679">
        <f>富士!BN13</f>
        <v>155.39506285021963</v>
      </c>
      <c r="BM168" s="679">
        <f>富士!BO13</f>
        <v>165.78996517885412</v>
      </c>
      <c r="BN168" s="611">
        <f t="shared" si="29"/>
        <v>0.93730077500516706</v>
      </c>
      <c r="BY168" s="587">
        <f>富士!CA13</f>
        <v>20.024384000000001</v>
      </c>
      <c r="BZ168" s="611">
        <f t="shared" si="30"/>
        <v>0.76138342205323195</v>
      </c>
    </row>
    <row r="169" spans="2:78" x14ac:dyDescent="0.2">
      <c r="B169" s="587">
        <f>富士!D14</f>
        <v>31.3</v>
      </c>
      <c r="BL169" s="679">
        <f>富士!BN14</f>
        <v>271.4165682265637</v>
      </c>
      <c r="BM169" s="679">
        <f>富士!BO14</f>
        <v>293.76299737120996</v>
      </c>
      <c r="BN169" s="611">
        <f t="shared" si="29"/>
        <v>0.92393041552333943</v>
      </c>
      <c r="BY169" s="587">
        <f>富士!CA14</f>
        <v>24.173546999999999</v>
      </c>
      <c r="BZ169" s="611">
        <f t="shared" si="30"/>
        <v>0.77231779552715651</v>
      </c>
    </row>
    <row r="170" spans="2:78" x14ac:dyDescent="0.2">
      <c r="B170" s="587">
        <f>富士!D15</f>
        <v>28.6</v>
      </c>
      <c r="BL170" s="679">
        <f>富士!BN15</f>
        <v>250.51871876419807</v>
      </c>
      <c r="BM170" s="679">
        <f>富士!BO15</f>
        <v>263.48607154162704</v>
      </c>
      <c r="BN170" s="611">
        <f t="shared" si="29"/>
        <v>0.95078543354660661</v>
      </c>
      <c r="BY170" s="587">
        <f>富士!CA15</f>
        <v>22.632069500000004</v>
      </c>
      <c r="BZ170" s="611">
        <f t="shared" si="30"/>
        <v>0.79133110139860152</v>
      </c>
    </row>
    <row r="171" spans="2:78" x14ac:dyDescent="0.2">
      <c r="B171" s="587">
        <f>富士!D16</f>
        <v>33.5</v>
      </c>
      <c r="BL171" s="679">
        <f>富士!BN16</f>
        <v>291.97570801150994</v>
      </c>
      <c r="BM171" s="679">
        <f>富士!BO16</f>
        <v>324.38448428919435</v>
      </c>
      <c r="BN171" s="611">
        <f t="shared" si="29"/>
        <v>0.90009147216550767</v>
      </c>
      <c r="BY171" s="587">
        <f>富士!CA16</f>
        <v>26.382131000000005</v>
      </c>
      <c r="BZ171" s="611">
        <f t="shared" si="30"/>
        <v>0.78752629850746281</v>
      </c>
    </row>
    <row r="172" spans="2:78" x14ac:dyDescent="0.2">
      <c r="B172" s="587">
        <f>富士!D17</f>
        <v>32.700000000000003</v>
      </c>
      <c r="BL172" s="679">
        <f>富士!BN17</f>
        <v>360.42086930183251</v>
      </c>
      <c r="BM172" s="679">
        <f>富士!BO17</f>
        <v>429.31606727500451</v>
      </c>
      <c r="BN172" s="611">
        <f t="shared" si="29"/>
        <v>0.83952336466121547</v>
      </c>
      <c r="BY172" s="587">
        <f>富士!CA17</f>
        <v>30.171296000000002</v>
      </c>
      <c r="BZ172" s="611">
        <f t="shared" si="30"/>
        <v>0.92266960244648311</v>
      </c>
    </row>
    <row r="173" spans="2:78" x14ac:dyDescent="0.2">
      <c r="B173" s="677">
        <f>富士!D18</f>
        <v>33.6</v>
      </c>
      <c r="BL173" s="680">
        <f>富士!BN18</f>
        <v>375.42194457064971</v>
      </c>
      <c r="BM173" s="680">
        <f>富士!BO18</f>
        <v>502.67488989360965</v>
      </c>
      <c r="BN173" s="611">
        <f t="shared" si="29"/>
        <v>0.74684841458881546</v>
      </c>
      <c r="BY173" s="677">
        <f>富士!CA18</f>
        <v>30.488485000000004</v>
      </c>
      <c r="BZ173" s="611">
        <f t="shared" si="30"/>
        <v>0.90739538690476196</v>
      </c>
    </row>
    <row r="174" spans="2:78" x14ac:dyDescent="0.2">
      <c r="B174" s="678">
        <f>湖西!D12</f>
        <v>12</v>
      </c>
      <c r="BL174" s="681">
        <f>湖西!BN12</f>
        <v>94.462267151294867</v>
      </c>
      <c r="BM174" s="681">
        <f>湖西!BO12</f>
        <v>107.43872544971579</v>
      </c>
      <c r="BN174" s="611">
        <f t="shared" si="29"/>
        <v>0.87921991587200787</v>
      </c>
      <c r="BY174" s="678">
        <f>湖西!CA12</f>
        <v>10.542541</v>
      </c>
      <c r="BZ174" s="611">
        <f t="shared" si="30"/>
        <v>0.87854508333333337</v>
      </c>
    </row>
    <row r="175" spans="2:78" x14ac:dyDescent="0.2">
      <c r="B175" s="587">
        <f>湖西!D13</f>
        <v>22</v>
      </c>
      <c r="BL175" s="679">
        <f>湖西!BN13</f>
        <v>167.8466757534454</v>
      </c>
      <c r="BM175" s="679">
        <f>湖西!BO13</f>
        <v>176.74196085717824</v>
      </c>
      <c r="BN175" s="611">
        <f t="shared" si="29"/>
        <v>0.94967077958968127</v>
      </c>
      <c r="BY175" s="587">
        <f>湖西!CA13</f>
        <v>16.873494000000004</v>
      </c>
      <c r="BZ175" s="611">
        <f t="shared" si="30"/>
        <v>0.76697700000000024</v>
      </c>
    </row>
    <row r="176" spans="2:78" x14ac:dyDescent="0.2">
      <c r="B176" s="587">
        <f>湖西!D14</f>
        <v>29.1</v>
      </c>
      <c r="BL176" s="679">
        <f>湖西!BN14</f>
        <v>231.35848856580341</v>
      </c>
      <c r="BM176" s="679">
        <f>湖西!BO14</f>
        <v>256.35391772299988</v>
      </c>
      <c r="BN176" s="611">
        <f t="shared" si="29"/>
        <v>0.90249640271070486</v>
      </c>
      <c r="BY176" s="587">
        <f>湖西!CA14</f>
        <v>22.563972</v>
      </c>
      <c r="BZ176" s="611">
        <f t="shared" si="30"/>
        <v>0.77539422680412362</v>
      </c>
    </row>
    <row r="177" spans="2:78" x14ac:dyDescent="0.2">
      <c r="B177" s="587">
        <f>湖西!D15</f>
        <v>35.700000000000003</v>
      </c>
      <c r="BL177" s="679">
        <f>湖西!BN15</f>
        <v>313.26065424806905</v>
      </c>
      <c r="BM177" s="679">
        <f>湖西!BO15</f>
        <v>375.22283434493573</v>
      </c>
      <c r="BN177" s="611">
        <f t="shared" si="29"/>
        <v>0.83486564668954566</v>
      </c>
      <c r="BY177" s="587">
        <f>湖西!CA15</f>
        <v>27.658971000000001</v>
      </c>
      <c r="BZ177" s="611">
        <f t="shared" si="30"/>
        <v>0.77476109243697477</v>
      </c>
    </row>
    <row r="178" spans="2:78" x14ac:dyDescent="0.2">
      <c r="B178" s="587">
        <f>湖西!D16</f>
        <v>38.9</v>
      </c>
      <c r="BL178" s="679">
        <f>湖西!BN16</f>
        <v>396.48108435559595</v>
      </c>
      <c r="BM178" s="679">
        <f>湖西!BO16</f>
        <v>565.73242770827312</v>
      </c>
      <c r="BN178" s="611">
        <f t="shared" si="29"/>
        <v>0.70082792666084592</v>
      </c>
      <c r="BY178" s="587">
        <f>湖西!CA16</f>
        <v>32.194809999999997</v>
      </c>
      <c r="BZ178" s="611">
        <f t="shared" si="30"/>
        <v>0.82763007712082259</v>
      </c>
    </row>
    <row r="179" spans="2:78" x14ac:dyDescent="0.2">
      <c r="B179" s="587">
        <f>湖西!D17</f>
        <v>32.9</v>
      </c>
      <c r="BL179" s="679">
        <f>湖西!BN17</f>
        <v>375.34129940935941</v>
      </c>
      <c r="BM179" s="679">
        <f>湖西!BO17</f>
        <v>516.63127021484513</v>
      </c>
      <c r="BN179" s="611">
        <f t="shared" si="29"/>
        <v>0.72651680424468079</v>
      </c>
      <c r="BY179" s="587">
        <f>湖西!CA17</f>
        <v>28.251558999999997</v>
      </c>
      <c r="BZ179" s="611">
        <f t="shared" si="30"/>
        <v>0.85870999999999997</v>
      </c>
    </row>
    <row r="180" spans="2:78" x14ac:dyDescent="0.2">
      <c r="B180" s="677">
        <f>湖西!D18</f>
        <v>24</v>
      </c>
      <c r="BL180" s="680">
        <f>湖西!BN18</f>
        <v>271.31979403301528</v>
      </c>
      <c r="BM180" s="680">
        <f>湖西!BO18</f>
        <v>278.04320299489387</v>
      </c>
      <c r="BN180" s="611">
        <f t="shared" si="29"/>
        <v>0.97581883358608101</v>
      </c>
      <c r="BY180" s="677">
        <f>湖西!CA18</f>
        <v>20.456018499999999</v>
      </c>
      <c r="BZ180" s="611">
        <f t="shared" si="30"/>
        <v>0.85233410416666666</v>
      </c>
    </row>
    <row r="181" spans="2:78" x14ac:dyDescent="0.2">
      <c r="B181" s="678">
        <f>静岡!D12</f>
        <v>11</v>
      </c>
      <c r="BL181" s="681">
        <f>静岡!BN12</f>
        <v>65.689080720884448</v>
      </c>
      <c r="BM181" s="681">
        <f>静岡!BO12</f>
        <v>79.049216180134053</v>
      </c>
      <c r="BN181" s="611">
        <f t="shared" si="29"/>
        <v>0.83098965296752481</v>
      </c>
      <c r="BY181" s="678">
        <f>静岡!CA12</f>
        <v>10.0096585</v>
      </c>
      <c r="BZ181" s="611">
        <f t="shared" si="30"/>
        <v>0.90996895454545457</v>
      </c>
    </row>
    <row r="182" spans="2:78" x14ac:dyDescent="0.2">
      <c r="B182" s="587">
        <f>静岡!D13</f>
        <v>23</v>
      </c>
      <c r="BL182" s="679">
        <f>静岡!BN13</f>
        <v>127.71058609722854</v>
      </c>
      <c r="BM182" s="679">
        <f>静岡!BO13</f>
        <v>149.08968027856918</v>
      </c>
      <c r="BN182" s="611">
        <f t="shared" si="29"/>
        <v>0.85660245470112684</v>
      </c>
      <c r="BY182" s="587">
        <f>静岡!CA13</f>
        <v>18.856649999999995</v>
      </c>
      <c r="BZ182" s="611">
        <f t="shared" si="30"/>
        <v>0.81985434782608668</v>
      </c>
    </row>
    <row r="183" spans="2:78" x14ac:dyDescent="0.2">
      <c r="B183" s="587">
        <f>静岡!D14</f>
        <v>27.8</v>
      </c>
      <c r="BL183" s="679">
        <f>静岡!BN14</f>
        <v>185.73746781765865</v>
      </c>
      <c r="BM183" s="679">
        <f>静岡!BO14</f>
        <v>216.53212904468944</v>
      </c>
      <c r="BN183" s="611">
        <f t="shared" si="29"/>
        <v>0.85778248538499724</v>
      </c>
      <c r="BY183" s="587">
        <f>静岡!CA14</f>
        <v>21.481740000000002</v>
      </c>
      <c r="BZ183" s="611">
        <f t="shared" si="30"/>
        <v>0.77272446043165477</v>
      </c>
    </row>
    <row r="184" spans="2:78" x14ac:dyDescent="0.2">
      <c r="B184" s="587">
        <f>静岡!D15</f>
        <v>24.2</v>
      </c>
      <c r="BL184" s="679">
        <f>静岡!BN15</f>
        <v>170.71865061335757</v>
      </c>
      <c r="BM184" s="679">
        <f>静岡!BO15</f>
        <v>206.27676479898705</v>
      </c>
      <c r="BN184" s="611">
        <f t="shared" si="29"/>
        <v>0.82761939174157495</v>
      </c>
      <c r="BY184" s="587">
        <f>静岡!CA15</f>
        <v>18.6693666</v>
      </c>
      <c r="BZ184" s="611">
        <f t="shared" si="30"/>
        <v>0.77146142975206611</v>
      </c>
    </row>
    <row r="185" spans="2:78" x14ac:dyDescent="0.2">
      <c r="B185" s="587">
        <f>静岡!D16</f>
        <v>35.200000000000003</v>
      </c>
      <c r="BL185" s="679">
        <f>静岡!BN16</f>
        <v>314.46865061335757</v>
      </c>
      <c r="BM185" s="679">
        <f>静岡!BO16</f>
        <v>381.98450114923543</v>
      </c>
      <c r="BN185" s="611">
        <f t="shared" si="29"/>
        <v>0.8232497644989516</v>
      </c>
      <c r="BY185" s="587">
        <f>静岡!CA16</f>
        <v>28.788978999999998</v>
      </c>
      <c r="BZ185" s="611">
        <f t="shared" si="30"/>
        <v>0.81786872159090895</v>
      </c>
    </row>
    <row r="186" spans="2:78" x14ac:dyDescent="0.2">
      <c r="B186" s="587">
        <f>静岡!D17</f>
        <v>29.4</v>
      </c>
      <c r="BL186" s="679">
        <f>静岡!BN17</f>
        <v>251.96865061335754</v>
      </c>
      <c r="BM186" s="679">
        <f>静岡!BO17</f>
        <v>283.83295346628677</v>
      </c>
      <c r="BN186" s="611">
        <f t="shared" si="29"/>
        <v>0.88773571756278113</v>
      </c>
      <c r="BY186" s="587">
        <f>静岡!CA17</f>
        <v>24.604990999999995</v>
      </c>
      <c r="BZ186" s="611">
        <f t="shared" si="30"/>
        <v>0.83690445578231276</v>
      </c>
    </row>
    <row r="187" spans="2:78" x14ac:dyDescent="0.2">
      <c r="B187" s="677">
        <f>静岡!D18</f>
        <v>38</v>
      </c>
      <c r="BL187" s="680">
        <f>静岡!BN18</f>
        <v>376.96865061335757</v>
      </c>
      <c r="BM187" s="680">
        <f>静岡!BO18</f>
        <v>437.32203228869895</v>
      </c>
      <c r="BN187" s="611">
        <f t="shared" si="29"/>
        <v>0.86199327447673846</v>
      </c>
      <c r="BY187" s="677">
        <f>静岡!CA18</f>
        <v>32.334757000000003</v>
      </c>
      <c r="BZ187" s="611">
        <f t="shared" si="30"/>
        <v>0.85091465789473697</v>
      </c>
    </row>
    <row r="188" spans="2:78" x14ac:dyDescent="0.2">
      <c r="B188" s="678">
        <f>浜松!D12</f>
        <v>10</v>
      </c>
      <c r="BL188" s="681">
        <f>浜松!BN12</f>
        <v>79.425791306981665</v>
      </c>
      <c r="BM188" s="681">
        <f>浜松!BO12</f>
        <v>82.819063545150513</v>
      </c>
      <c r="BN188" s="611">
        <f t="shared" si="29"/>
        <v>0.95902788448798459</v>
      </c>
      <c r="BY188" s="678">
        <f>浜松!CA12</f>
        <v>9.1934165000000014</v>
      </c>
      <c r="BZ188" s="611">
        <f t="shared" si="30"/>
        <v>0.91934165000000012</v>
      </c>
    </row>
    <row r="189" spans="2:78" x14ac:dyDescent="0.2">
      <c r="B189" s="587">
        <f>浜松!D13</f>
        <v>15.2</v>
      </c>
      <c r="BL189" s="679">
        <f>浜松!BN13</f>
        <v>74.23006966530366</v>
      </c>
      <c r="BM189" s="679">
        <f>浜松!BO13</f>
        <v>81.476723509090661</v>
      </c>
      <c r="BN189" s="611">
        <f t="shared" si="29"/>
        <v>0.91105860015371798</v>
      </c>
      <c r="BY189" s="587">
        <f>浜松!CA13</f>
        <v>11.742430500000001</v>
      </c>
      <c r="BZ189" s="611">
        <f t="shared" si="30"/>
        <v>0.77252832236842117</v>
      </c>
    </row>
    <row r="190" spans="2:78" x14ac:dyDescent="0.2">
      <c r="B190" s="587">
        <f>浜松!D14</f>
        <v>26.2</v>
      </c>
      <c r="BL190" s="679">
        <f>浜松!BN14</f>
        <v>165.86101771921855</v>
      </c>
      <c r="BM190" s="679">
        <f>浜松!BO14</f>
        <v>186.98958118281791</v>
      </c>
      <c r="BN190" s="611">
        <f t="shared" si="29"/>
        <v>0.8870067341188268</v>
      </c>
      <c r="BY190" s="587">
        <f>浜松!CA14</f>
        <v>20.324736500000004</v>
      </c>
      <c r="BZ190" s="611">
        <f t="shared" si="30"/>
        <v>0.77575330152671773</v>
      </c>
    </row>
    <row r="191" spans="2:78" x14ac:dyDescent="0.2">
      <c r="B191" s="587">
        <f>浜松!D15</f>
        <v>31.2</v>
      </c>
      <c r="BL191" s="679">
        <f>浜松!BN15</f>
        <v>207.24671361502345</v>
      </c>
      <c r="BM191" s="679">
        <f>浜松!BO15</f>
        <v>235.41884539686473</v>
      </c>
      <c r="BN191" s="611">
        <f t="shared" si="29"/>
        <v>0.88033187515490008</v>
      </c>
      <c r="BY191" s="587">
        <f>浜松!CA15</f>
        <v>23.005256500000002</v>
      </c>
      <c r="BZ191" s="611">
        <f t="shared" si="30"/>
        <v>0.73734796474358977</v>
      </c>
    </row>
    <row r="192" spans="2:78" x14ac:dyDescent="0.2">
      <c r="B192" s="587">
        <f>浜松!D16</f>
        <v>38.200000000000003</v>
      </c>
      <c r="BL192" s="679">
        <f>浜松!BN16</f>
        <v>294.30573981523548</v>
      </c>
      <c r="BM192" s="679">
        <f>浜松!BO16</f>
        <v>316.01473911667142</v>
      </c>
      <c r="BN192" s="611">
        <f t="shared" si="29"/>
        <v>0.93130383930155525</v>
      </c>
      <c r="BY192" s="587">
        <f>浜松!CA16</f>
        <v>29.228894999999998</v>
      </c>
      <c r="BZ192" s="611">
        <f t="shared" si="30"/>
        <v>0.76515431937172762</v>
      </c>
    </row>
    <row r="193" spans="2:78" x14ac:dyDescent="0.2">
      <c r="B193" s="587">
        <f>浜松!D17</f>
        <v>37.799999999999997</v>
      </c>
      <c r="BL193" s="679">
        <f>浜松!BN17</f>
        <v>293.2174163259125</v>
      </c>
      <c r="BM193" s="679">
        <f>浜松!BO17</f>
        <v>308.6817615646118</v>
      </c>
      <c r="BN193" s="611">
        <f t="shared" si="29"/>
        <v>0.94990197943566423</v>
      </c>
      <c r="BY193" s="587">
        <f>浜松!CA17</f>
        <v>27.986761999999999</v>
      </c>
      <c r="BZ193" s="611">
        <f t="shared" si="30"/>
        <v>0.74039052910052916</v>
      </c>
    </row>
    <row r="194" spans="2:78" x14ac:dyDescent="0.2">
      <c r="B194" s="677">
        <f>浜松!D18</f>
        <v>34.1</v>
      </c>
      <c r="BL194" s="680">
        <f>浜松!BN18</f>
        <v>292.48470392245952</v>
      </c>
      <c r="BM194" s="680">
        <f>浜松!BO18</f>
        <v>322.20942510700962</v>
      </c>
      <c r="BN194" s="611">
        <f t="shared" si="29"/>
        <v>0.90774720145235299</v>
      </c>
      <c r="BY194" s="677">
        <f>浜松!CA18</f>
        <v>23.980586500000001</v>
      </c>
      <c r="BZ194" s="611">
        <f t="shared" si="30"/>
        <v>0.70324300586510269</v>
      </c>
    </row>
    <row r="196" spans="2:78" x14ac:dyDescent="0.2">
      <c r="BL196">
        <v>0</v>
      </c>
      <c r="BM196">
        <v>0</v>
      </c>
    </row>
    <row r="197" spans="2:78" x14ac:dyDescent="0.2">
      <c r="BL197">
        <v>1000</v>
      </c>
      <c r="BM197">
        <v>1000</v>
      </c>
    </row>
    <row r="199" spans="2:78" x14ac:dyDescent="0.2">
      <c r="BL199">
        <v>0</v>
      </c>
      <c r="BM199">
        <v>0</v>
      </c>
    </row>
    <row r="200" spans="2:78" x14ac:dyDescent="0.2">
      <c r="BL200">
        <v>1000</v>
      </c>
      <c r="BM200">
        <v>800</v>
      </c>
    </row>
    <row r="202" spans="2:78" x14ac:dyDescent="0.2">
      <c r="BL202">
        <v>0</v>
      </c>
      <c r="BM202">
        <v>0</v>
      </c>
    </row>
    <row r="203" spans="2:78" x14ac:dyDescent="0.2">
      <c r="BL203">
        <v>1000</v>
      </c>
      <c r="BM203">
        <v>1200</v>
      </c>
    </row>
  </sheetData>
  <phoneticPr fontId="2"/>
  <conditionalFormatting sqref="BZ27:BZ194">
    <cfRule type="cellIs" dxfId="97" priority="1" stopIfTrue="1" operator="notBetween">
      <formula>0.8</formula>
      <formula>1.2</formula>
    </cfRule>
  </conditionalFormatting>
  <conditionalFormatting sqref="BN27:BN194">
    <cfRule type="cellIs" dxfId="96" priority="2" stopIfTrue="1" operator="notBetween">
      <formula>0.8</formula>
      <formula>1.2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551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436">
        <v>4</v>
      </c>
      <c r="E7" s="28">
        <v>0.03</v>
      </c>
      <c r="F7" s="29">
        <v>0.06</v>
      </c>
      <c r="G7" s="29">
        <v>1.2</v>
      </c>
      <c r="H7" s="30">
        <v>0.15</v>
      </c>
      <c r="I7" s="29">
        <v>0.28999999999999998</v>
      </c>
      <c r="J7" s="29">
        <v>0.12</v>
      </c>
      <c r="K7" s="29">
        <v>0.02</v>
      </c>
      <c r="L7" s="26">
        <v>0.04</v>
      </c>
      <c r="M7" s="28">
        <v>160</v>
      </c>
      <c r="N7" s="29">
        <v>34</v>
      </c>
      <c r="O7" s="29">
        <v>54</v>
      </c>
      <c r="P7" s="29">
        <v>33</v>
      </c>
      <c r="Q7" s="29">
        <v>39</v>
      </c>
      <c r="R7" s="29" t="s">
        <v>259</v>
      </c>
      <c r="S7" s="29">
        <v>4.0999999999999996</v>
      </c>
      <c r="T7" s="29">
        <v>0.99</v>
      </c>
      <c r="U7" s="29">
        <v>0.25</v>
      </c>
      <c r="V7" s="29">
        <v>1.4</v>
      </c>
      <c r="W7" s="29">
        <v>35</v>
      </c>
      <c r="X7" s="29" t="s">
        <v>552</v>
      </c>
      <c r="Y7" s="29">
        <v>0.39</v>
      </c>
      <c r="Z7" s="29">
        <v>1.8</v>
      </c>
      <c r="AA7" s="29">
        <v>5.0999999999999996</v>
      </c>
      <c r="AB7" s="29">
        <v>0.08</v>
      </c>
      <c r="AC7" s="29">
        <v>7.0000000000000007E-2</v>
      </c>
      <c r="AD7" s="29">
        <v>7.0000000000000007E-2</v>
      </c>
      <c r="AE7" s="29">
        <v>0.04</v>
      </c>
      <c r="AF7" s="29">
        <v>0.23</v>
      </c>
      <c r="AG7" s="29" t="s">
        <v>73</v>
      </c>
      <c r="AH7" s="29">
        <v>1.5</v>
      </c>
      <c r="AI7" s="29">
        <v>2.7E-2</v>
      </c>
      <c r="AJ7" s="29">
        <v>0.12</v>
      </c>
      <c r="AK7" s="29" t="s">
        <v>552</v>
      </c>
      <c r="AL7" s="27" t="s">
        <v>256</v>
      </c>
      <c r="AM7" s="27" t="s">
        <v>257</v>
      </c>
      <c r="AN7" s="27" t="s">
        <v>253</v>
      </c>
      <c r="AO7" s="27" t="s">
        <v>293</v>
      </c>
      <c r="AP7" s="29">
        <v>0.83</v>
      </c>
      <c r="AQ7" s="26"/>
      <c r="AR7" s="28">
        <v>0</v>
      </c>
      <c r="AS7" s="30">
        <v>0.63</v>
      </c>
      <c r="AT7" s="30">
        <v>0.31</v>
      </c>
      <c r="AU7" s="30">
        <v>0.14000000000000001</v>
      </c>
      <c r="AV7" s="30">
        <v>0.13</v>
      </c>
      <c r="AW7" s="29">
        <v>0.18</v>
      </c>
      <c r="AX7" s="27">
        <v>0.15</v>
      </c>
      <c r="AY7" s="27">
        <v>0.01</v>
      </c>
      <c r="AZ7" s="27">
        <v>1.2</v>
      </c>
      <c r="BA7" s="27">
        <v>0.21</v>
      </c>
      <c r="BB7" s="26"/>
      <c r="BC7" s="619">
        <f>SUM(AR7:AV7)/AZ7</f>
        <v>1.0083333333333333</v>
      </c>
      <c r="BD7" s="610">
        <f>(SUM(AW7:AY7)-AV7)/BA7</f>
        <v>0.99999999999999989</v>
      </c>
      <c r="BF7" s="610">
        <f>E7/35.5</f>
        <v>8.450704225352112E-4</v>
      </c>
      <c r="BG7" s="610">
        <f>F7/62</f>
        <v>9.6774193548387097E-4</v>
      </c>
      <c r="BH7" s="610">
        <f>G7/(96/2)</f>
        <v>2.4999999999999998E-2</v>
      </c>
      <c r="BI7" s="610">
        <f>H7/23</f>
        <v>6.5217391304347823E-3</v>
      </c>
      <c r="BJ7" s="610">
        <f>I7/18</f>
        <v>1.6111111111111111E-2</v>
      </c>
      <c r="BK7" s="610">
        <f>J7/39</f>
        <v>3.0769230769230769E-3</v>
      </c>
      <c r="BL7" s="610">
        <f>K7/(24.3/2)</f>
        <v>1.6460905349794238E-3</v>
      </c>
      <c r="BM7" s="610">
        <f>L7/(40/2)</f>
        <v>2E-3</v>
      </c>
      <c r="BN7" s="563">
        <f>SUM(BF7:BH7)*1000</f>
        <v>26.81281235801908</v>
      </c>
      <c r="BO7" s="563">
        <f>SUM(BI7:BM7)*1000</f>
        <v>29.355863853448398</v>
      </c>
      <c r="BP7" s="611">
        <f>BN7/BO7</f>
        <v>0.91337160070898105</v>
      </c>
      <c r="BR7" s="564">
        <f>1.375*G7</f>
        <v>1.65</v>
      </c>
      <c r="BS7" s="564">
        <f>1.29*F7</f>
        <v>7.7399999999999997E-2</v>
      </c>
      <c r="BT7" s="564">
        <f>2.5*H7</f>
        <v>0.375</v>
      </c>
      <c r="BU7" s="564">
        <f>1.6*AZ7</f>
        <v>1.92</v>
      </c>
      <c r="BV7" s="564">
        <f>BA7</f>
        <v>0.21</v>
      </c>
      <c r="BW7" s="564">
        <f>9.19/1000*N7</f>
        <v>0.31246000000000002</v>
      </c>
      <c r="BX7" s="564">
        <f t="shared" ref="BX7:BX20" si="0">Q7/1000*1.4</f>
        <v>5.4599999999999996E-2</v>
      </c>
      <c r="BY7" s="564">
        <f>W7/1000*1.38</f>
        <v>4.8300000000000003E-2</v>
      </c>
      <c r="BZ7" s="564">
        <f>S7/1000*1.67</f>
        <v>6.8469999999999989E-3</v>
      </c>
      <c r="CA7" s="564">
        <f>SUM(BR7:BZ7)</f>
        <v>4.6546069999999986</v>
      </c>
      <c r="CB7" s="611">
        <f>CA7/D7</f>
        <v>1.1636517499999997</v>
      </c>
      <c r="CD7" s="610">
        <f>AZ7/(AZ7+BA7)</f>
        <v>0.85106382978723405</v>
      </c>
      <c r="CE7" s="610">
        <f>BB7/AZ7</f>
        <v>0</v>
      </c>
      <c r="CF7" s="610">
        <f t="shared" ref="CF7:CF12" si="1">IF(AW7-AV7&gt;0,AW7-AV7,0)</f>
        <v>4.9999999999999989E-2</v>
      </c>
      <c r="CG7" s="610">
        <f t="shared" ref="CG7:CG12" si="2">IF(AW7-AV7&gt;0,AX7+AY7,AW7+AX7+AY7-AV7)</f>
        <v>0.16</v>
      </c>
    </row>
    <row r="8" spans="2:85" ht="20.149999999999999" customHeight="1" x14ac:dyDescent="0.2">
      <c r="B8" s="31" t="s">
        <v>61</v>
      </c>
      <c r="C8" s="32" t="s">
        <v>199</v>
      </c>
      <c r="D8" s="33">
        <v>6.9</v>
      </c>
      <c r="E8" s="34" t="s">
        <v>531</v>
      </c>
      <c r="F8" s="35">
        <v>0.06</v>
      </c>
      <c r="G8" s="288">
        <v>1</v>
      </c>
      <c r="H8" s="36">
        <v>7.0000000000000007E-2</v>
      </c>
      <c r="I8" s="35">
        <v>0.28000000000000003</v>
      </c>
      <c r="J8" s="35">
        <v>0.09</v>
      </c>
      <c r="K8" s="35">
        <v>0.01</v>
      </c>
      <c r="L8" s="32">
        <v>0.02</v>
      </c>
      <c r="M8" s="34">
        <v>84</v>
      </c>
      <c r="N8" s="35">
        <v>19</v>
      </c>
      <c r="O8" s="35">
        <v>37</v>
      </c>
      <c r="P8" s="35">
        <v>59</v>
      </c>
      <c r="Q8" s="35">
        <v>23</v>
      </c>
      <c r="R8" s="35" t="s">
        <v>259</v>
      </c>
      <c r="S8" s="35">
        <v>4.0999999999999996</v>
      </c>
      <c r="T8" s="288">
        <v>1</v>
      </c>
      <c r="U8" s="288">
        <v>1</v>
      </c>
      <c r="V8" s="35">
        <v>5.9</v>
      </c>
      <c r="W8" s="35">
        <v>89</v>
      </c>
      <c r="X8" s="35" t="s">
        <v>552</v>
      </c>
      <c r="Y8" s="341">
        <v>0.6</v>
      </c>
      <c r="Z8" s="35">
        <v>4.2</v>
      </c>
      <c r="AA8" s="35">
        <v>13</v>
      </c>
      <c r="AB8" s="341">
        <v>0.3</v>
      </c>
      <c r="AC8" s="35">
        <v>0.54</v>
      </c>
      <c r="AD8" s="341">
        <v>0.1</v>
      </c>
      <c r="AE8" s="35">
        <v>0.34</v>
      </c>
      <c r="AF8" s="341">
        <v>0.8</v>
      </c>
      <c r="AG8" s="35" t="s">
        <v>73</v>
      </c>
      <c r="AH8" s="35">
        <v>3.7</v>
      </c>
      <c r="AI8" s="35">
        <v>0.14000000000000001</v>
      </c>
      <c r="AJ8" s="35">
        <v>0.42</v>
      </c>
      <c r="AK8" s="35" t="s">
        <v>552</v>
      </c>
      <c r="AL8" s="33" t="s">
        <v>256</v>
      </c>
      <c r="AM8" s="33">
        <v>0.11</v>
      </c>
      <c r="AN8" s="33" t="s">
        <v>253</v>
      </c>
      <c r="AO8" s="33" t="s">
        <v>293</v>
      </c>
      <c r="AP8" s="35">
        <v>2.2000000000000002</v>
      </c>
      <c r="AQ8" s="32"/>
      <c r="AR8" s="34">
        <v>0.06</v>
      </c>
      <c r="AS8" s="36">
        <v>1.1000000000000001</v>
      </c>
      <c r="AT8" s="36">
        <v>0.86</v>
      </c>
      <c r="AU8" s="36">
        <v>0.34</v>
      </c>
      <c r="AV8" s="36">
        <v>0.34</v>
      </c>
      <c r="AW8" s="35">
        <v>0.75</v>
      </c>
      <c r="AX8" s="33">
        <v>0.39</v>
      </c>
      <c r="AY8" s="33">
        <v>0.02</v>
      </c>
      <c r="AZ8" s="33">
        <v>2.7</v>
      </c>
      <c r="BA8" s="33">
        <v>0.82</v>
      </c>
      <c r="BB8" s="32"/>
      <c r="BC8" s="619">
        <f t="shared" ref="BC8:BC20" si="3">SUM(AR8:AV8)/AZ8</f>
        <v>0.99999999999999989</v>
      </c>
      <c r="BD8" s="610">
        <f t="shared" ref="BD8:BD20" si="4">(SUM(AW8:AY8)-AV8)/BA8</f>
        <v>1.0000000000000002</v>
      </c>
      <c r="BF8" s="610" t="e">
        <f t="shared" ref="BF8:BF20" si="5">E8/35.5</f>
        <v>#VALUE!</v>
      </c>
      <c r="BG8" s="610">
        <f t="shared" ref="BG8:BG20" si="6">F8/62</f>
        <v>9.6774193548387097E-4</v>
      </c>
      <c r="BH8" s="610">
        <f t="shared" ref="BH8:BH20" si="7">G8/(96/2)</f>
        <v>2.0833333333333332E-2</v>
      </c>
      <c r="BI8" s="610">
        <f t="shared" ref="BI8:BI20" si="8">H8/23</f>
        <v>3.0434782608695656E-3</v>
      </c>
      <c r="BJ8" s="610">
        <f t="shared" ref="BJ8:BJ20" si="9">I8/18</f>
        <v>1.5555555555555557E-2</v>
      </c>
      <c r="BK8" s="610">
        <f t="shared" ref="BK8:BK20" si="10">J8/39</f>
        <v>2.3076923076923075E-3</v>
      </c>
      <c r="BL8" s="610">
        <f t="shared" ref="BL8:BL20" si="11">K8/(24.3/2)</f>
        <v>8.2304526748971192E-4</v>
      </c>
      <c r="BM8" s="610">
        <f t="shared" ref="BM8:BM20" si="12">L8/(40/2)</f>
        <v>1E-3</v>
      </c>
      <c r="BN8" s="563" t="e">
        <f t="shared" ref="BN8:BN20" si="13">SUM(BF8:BH8)*1000</f>
        <v>#VALUE!</v>
      </c>
      <c r="BO8" s="563">
        <f t="shared" ref="BO8:BO20" si="14">SUM(BI8:BM8)*1000</f>
        <v>22.729771391607144</v>
      </c>
      <c r="BP8" s="611" t="e">
        <f t="shared" ref="BP8:BP20" si="15">BN8/BO8</f>
        <v>#VALUE!</v>
      </c>
      <c r="BR8" s="564">
        <f t="shared" ref="BR8:BR20" si="16">1.375*G8</f>
        <v>1.375</v>
      </c>
      <c r="BS8" s="564">
        <f t="shared" ref="BS8:BS20" si="17">1.29*F8</f>
        <v>7.7399999999999997E-2</v>
      </c>
      <c r="BT8" s="564">
        <f t="shared" ref="BT8:BT20" si="18">2.5*H8</f>
        <v>0.17500000000000002</v>
      </c>
      <c r="BU8" s="564">
        <f t="shared" ref="BU8:BU20" si="19">1.6*AZ8</f>
        <v>4.32</v>
      </c>
      <c r="BV8" s="564">
        <f t="shared" ref="BV8:BV20" si="20">BA8</f>
        <v>0.82</v>
      </c>
      <c r="BW8" s="564">
        <f t="shared" ref="BW8:BW20" si="21">9.19/1000*N8</f>
        <v>0.17461000000000002</v>
      </c>
      <c r="BX8" s="564">
        <f t="shared" si="0"/>
        <v>3.2199999999999999E-2</v>
      </c>
      <c r="BY8" s="564">
        <f t="shared" ref="BY8:BY20" si="22">W8/1000*1.38</f>
        <v>0.12281999999999998</v>
      </c>
      <c r="BZ8" s="564">
        <f t="shared" ref="BZ8:BZ20" si="23">S8/1000*1.67</f>
        <v>6.8469999999999989E-3</v>
      </c>
      <c r="CA8" s="564">
        <f t="shared" ref="CA8:CA20" si="24">SUM(BR8:BZ8)</f>
        <v>7.1038769999999998</v>
      </c>
      <c r="CB8" s="611">
        <f t="shared" ref="CB8:CB20" si="25">CA8/D8</f>
        <v>1.0295473913043478</v>
      </c>
      <c r="CD8" s="610">
        <f t="shared" ref="CD8:CD20" si="26">AZ8/(AZ8+BA8)</f>
        <v>0.76704545454545459</v>
      </c>
      <c r="CE8" s="610">
        <f t="shared" ref="CE8:CE20" si="27">BB8/AZ8</f>
        <v>0</v>
      </c>
      <c r="CF8" s="610">
        <f t="shared" si="1"/>
        <v>0.41</v>
      </c>
      <c r="CG8" s="610">
        <f t="shared" si="2"/>
        <v>0.41000000000000003</v>
      </c>
    </row>
    <row r="9" spans="2:85" ht="20.149999999999999" customHeight="1" x14ac:dyDescent="0.2">
      <c r="B9" s="31" t="s">
        <v>61</v>
      </c>
      <c r="C9" s="37" t="s">
        <v>200</v>
      </c>
      <c r="D9" s="33">
        <v>16</v>
      </c>
      <c r="E9" s="34" t="s">
        <v>531</v>
      </c>
      <c r="F9" s="35">
        <v>0.12</v>
      </c>
      <c r="G9" s="288">
        <v>3</v>
      </c>
      <c r="H9" s="36">
        <v>0.05</v>
      </c>
      <c r="I9" s="35">
        <v>1.1000000000000001</v>
      </c>
      <c r="J9" s="35">
        <v>0.14000000000000001</v>
      </c>
      <c r="K9" s="35" t="s">
        <v>531</v>
      </c>
      <c r="L9" s="32">
        <v>0.03</v>
      </c>
      <c r="M9" s="34">
        <v>54</v>
      </c>
      <c r="N9" s="35">
        <v>21</v>
      </c>
      <c r="O9" s="35">
        <v>45</v>
      </c>
      <c r="P9" s="35">
        <v>100</v>
      </c>
      <c r="Q9" s="35">
        <v>24</v>
      </c>
      <c r="R9" s="35" t="s">
        <v>259</v>
      </c>
      <c r="S9" s="35">
        <v>5.5</v>
      </c>
      <c r="T9" s="35">
        <v>1.1000000000000001</v>
      </c>
      <c r="U9" s="35">
        <v>1.4</v>
      </c>
      <c r="V9" s="288">
        <v>7</v>
      </c>
      <c r="W9" s="35">
        <v>88</v>
      </c>
      <c r="X9" s="35" t="s">
        <v>552</v>
      </c>
      <c r="Y9" s="35">
        <v>0.79</v>
      </c>
      <c r="Z9" s="35">
        <v>5.6</v>
      </c>
      <c r="AA9" s="35">
        <v>22</v>
      </c>
      <c r="AB9" s="35">
        <v>0.54</v>
      </c>
      <c r="AC9" s="35">
        <v>1.9</v>
      </c>
      <c r="AD9" s="35">
        <v>0.16</v>
      </c>
      <c r="AE9" s="35">
        <v>0.67</v>
      </c>
      <c r="AF9" s="35">
        <v>1.5</v>
      </c>
      <c r="AG9" s="35">
        <v>2.3E-2</v>
      </c>
      <c r="AH9" s="35">
        <v>5.0999999999999996</v>
      </c>
      <c r="AI9" s="35">
        <v>0.27</v>
      </c>
      <c r="AJ9" s="341">
        <v>0.6</v>
      </c>
      <c r="AK9" s="35" t="s">
        <v>552</v>
      </c>
      <c r="AL9" s="33" t="s">
        <v>256</v>
      </c>
      <c r="AM9" s="33">
        <v>0.28999999999999998</v>
      </c>
      <c r="AN9" s="33" t="s">
        <v>253</v>
      </c>
      <c r="AO9" s="33" t="s">
        <v>293</v>
      </c>
      <c r="AP9" s="35">
        <v>4.5</v>
      </c>
      <c r="AQ9" s="32"/>
      <c r="AR9" s="34">
        <v>0.32</v>
      </c>
      <c r="AS9" s="349">
        <v>2</v>
      </c>
      <c r="AT9" s="36">
        <v>1.3</v>
      </c>
      <c r="AU9" s="343">
        <v>0.6</v>
      </c>
      <c r="AV9" s="36">
        <v>1.2</v>
      </c>
      <c r="AW9" s="35">
        <v>1.9</v>
      </c>
      <c r="AX9" s="33">
        <v>0.42</v>
      </c>
      <c r="AY9" s="33">
        <v>0.03</v>
      </c>
      <c r="AZ9" s="33">
        <v>5.4</v>
      </c>
      <c r="BA9" s="33">
        <v>1.2</v>
      </c>
      <c r="BB9" s="32"/>
      <c r="BC9" s="619">
        <f t="shared" si="3"/>
        <v>1.0037037037037035</v>
      </c>
      <c r="BD9" s="610">
        <f t="shared" si="4"/>
        <v>0.95833333333333315</v>
      </c>
      <c r="BF9" s="610" t="e">
        <f t="shared" si="5"/>
        <v>#VALUE!</v>
      </c>
      <c r="BG9" s="610">
        <f t="shared" si="6"/>
        <v>1.9354838709677419E-3</v>
      </c>
      <c r="BH9" s="610">
        <f t="shared" si="7"/>
        <v>6.25E-2</v>
      </c>
      <c r="BI9" s="610">
        <f t="shared" si="8"/>
        <v>2.1739130434782609E-3</v>
      </c>
      <c r="BJ9" s="610">
        <f t="shared" si="9"/>
        <v>6.1111111111111116E-2</v>
      </c>
      <c r="BK9" s="610">
        <f t="shared" si="10"/>
        <v>3.5897435897435902E-3</v>
      </c>
      <c r="BL9" s="610" t="e">
        <f t="shared" si="11"/>
        <v>#VALUE!</v>
      </c>
      <c r="BM9" s="610">
        <f t="shared" si="12"/>
        <v>1.5E-3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4.125</v>
      </c>
      <c r="BS9" s="564">
        <f t="shared" si="17"/>
        <v>0.15479999999999999</v>
      </c>
      <c r="BT9" s="564">
        <f t="shared" si="18"/>
        <v>0.125</v>
      </c>
      <c r="BU9" s="564">
        <f t="shared" si="19"/>
        <v>8.64</v>
      </c>
      <c r="BV9" s="564">
        <f t="shared" si="20"/>
        <v>1.2</v>
      </c>
      <c r="BW9" s="564">
        <f t="shared" si="21"/>
        <v>0.19298999999999999</v>
      </c>
      <c r="BX9" s="564">
        <f t="shared" si="0"/>
        <v>3.3599999999999998E-2</v>
      </c>
      <c r="BY9" s="564">
        <f t="shared" si="22"/>
        <v>0.12143999999999998</v>
      </c>
      <c r="BZ9" s="564">
        <f t="shared" si="23"/>
        <v>9.1849999999999987E-3</v>
      </c>
      <c r="CA9" s="564">
        <f t="shared" si="24"/>
        <v>14.602015</v>
      </c>
      <c r="CB9" s="611">
        <f t="shared" si="25"/>
        <v>0.91262593749999998</v>
      </c>
      <c r="CD9" s="610">
        <f t="shared" si="26"/>
        <v>0.81818181818181812</v>
      </c>
      <c r="CE9" s="610">
        <f t="shared" si="27"/>
        <v>0</v>
      </c>
      <c r="CF9" s="610">
        <f t="shared" si="1"/>
        <v>0.7</v>
      </c>
      <c r="CG9" s="610">
        <f t="shared" si="2"/>
        <v>0.44999999999999996</v>
      </c>
    </row>
    <row r="10" spans="2:85" ht="20.149999999999999" customHeight="1" x14ac:dyDescent="0.2">
      <c r="B10" s="31" t="s">
        <v>61</v>
      </c>
      <c r="C10" s="32" t="s">
        <v>82</v>
      </c>
      <c r="D10" s="33">
        <v>24.1</v>
      </c>
      <c r="E10" s="34">
        <v>0.01</v>
      </c>
      <c r="F10" s="35">
        <v>0.11</v>
      </c>
      <c r="G10" s="35">
        <v>5.4</v>
      </c>
      <c r="H10" s="36">
        <v>0.16</v>
      </c>
      <c r="I10" s="35">
        <v>2.1</v>
      </c>
      <c r="J10" s="35">
        <v>0.19</v>
      </c>
      <c r="K10" s="35">
        <v>0.03</v>
      </c>
      <c r="L10" s="32">
        <v>0.03</v>
      </c>
      <c r="M10" s="34">
        <v>160</v>
      </c>
      <c r="N10" s="35">
        <v>34</v>
      </c>
      <c r="O10" s="35">
        <v>52</v>
      </c>
      <c r="P10" s="35">
        <v>160</v>
      </c>
      <c r="Q10" s="35">
        <v>31</v>
      </c>
      <c r="R10" s="35" t="s">
        <v>259</v>
      </c>
      <c r="S10" s="35">
        <v>4.8</v>
      </c>
      <c r="T10" s="35">
        <v>4.5</v>
      </c>
      <c r="U10" s="35">
        <v>1.6</v>
      </c>
      <c r="V10" s="35">
        <v>5.4</v>
      </c>
      <c r="W10" s="35">
        <v>78</v>
      </c>
      <c r="X10" s="35">
        <v>5.6000000000000001E-2</v>
      </c>
      <c r="Y10" s="35">
        <v>1.9</v>
      </c>
      <c r="Z10" s="35">
        <v>5.6</v>
      </c>
      <c r="AA10" s="35">
        <v>23</v>
      </c>
      <c r="AB10" s="35">
        <v>0.56000000000000005</v>
      </c>
      <c r="AC10" s="35">
        <v>2.6</v>
      </c>
      <c r="AD10" s="35">
        <v>0.17</v>
      </c>
      <c r="AE10" s="35">
        <v>0.53</v>
      </c>
      <c r="AF10" s="35">
        <v>1.4</v>
      </c>
      <c r="AG10" s="35" t="s">
        <v>73</v>
      </c>
      <c r="AH10" s="35">
        <v>9.6</v>
      </c>
      <c r="AI10" s="35">
        <v>0.19</v>
      </c>
      <c r="AJ10" s="35">
        <v>0.35</v>
      </c>
      <c r="AK10" s="35" t="s">
        <v>552</v>
      </c>
      <c r="AL10" s="33" t="s">
        <v>256</v>
      </c>
      <c r="AM10" s="33">
        <v>0.36</v>
      </c>
      <c r="AN10" s="33" t="s">
        <v>253</v>
      </c>
      <c r="AO10" s="33" t="s">
        <v>293</v>
      </c>
      <c r="AP10" s="35">
        <v>3.4</v>
      </c>
      <c r="AQ10" s="32"/>
      <c r="AR10" s="437">
        <v>0.6</v>
      </c>
      <c r="AS10" s="36">
        <v>2.7</v>
      </c>
      <c r="AT10" s="36">
        <v>1.7</v>
      </c>
      <c r="AU10" s="36">
        <v>0.87</v>
      </c>
      <c r="AV10" s="349">
        <v>2</v>
      </c>
      <c r="AW10" s="35">
        <v>2.7</v>
      </c>
      <c r="AX10" s="33">
        <v>0.35</v>
      </c>
      <c r="AY10" s="33">
        <v>0.02</v>
      </c>
      <c r="AZ10" s="33">
        <v>7.9</v>
      </c>
      <c r="BA10" s="33">
        <v>1.1000000000000001</v>
      </c>
      <c r="BB10" s="32"/>
      <c r="BC10" s="619">
        <f t="shared" si="3"/>
        <v>0.9962025316455696</v>
      </c>
      <c r="BD10" s="610">
        <f t="shared" si="4"/>
        <v>0.97272727272727288</v>
      </c>
      <c r="BF10" s="610">
        <f t="shared" si="5"/>
        <v>2.8169014084507044E-4</v>
      </c>
      <c r="BG10" s="610">
        <f t="shared" si="6"/>
        <v>1.7741935483870969E-3</v>
      </c>
      <c r="BH10" s="610">
        <f t="shared" si="7"/>
        <v>0.1125</v>
      </c>
      <c r="BI10" s="610">
        <f t="shared" si="8"/>
        <v>6.956521739130435E-3</v>
      </c>
      <c r="BJ10" s="610">
        <f t="shared" si="9"/>
        <v>0.11666666666666667</v>
      </c>
      <c r="BK10" s="610">
        <f t="shared" si="10"/>
        <v>4.871794871794872E-3</v>
      </c>
      <c r="BL10" s="610">
        <f t="shared" si="11"/>
        <v>2.4691358024691358E-3</v>
      </c>
      <c r="BM10" s="610">
        <f t="shared" si="12"/>
        <v>1.5E-3</v>
      </c>
      <c r="BN10" s="563">
        <f t="shared" si="13"/>
        <v>114.55588368923218</v>
      </c>
      <c r="BO10" s="563">
        <f t="shared" si="14"/>
        <v>132.46411908006112</v>
      </c>
      <c r="BP10" s="611">
        <f t="shared" si="15"/>
        <v>0.86480689627350904</v>
      </c>
      <c r="BR10" s="564">
        <f t="shared" si="16"/>
        <v>7.4250000000000007</v>
      </c>
      <c r="BS10" s="564">
        <f t="shared" si="17"/>
        <v>0.1419</v>
      </c>
      <c r="BT10" s="564">
        <f t="shared" si="18"/>
        <v>0.4</v>
      </c>
      <c r="BU10" s="564">
        <f t="shared" si="19"/>
        <v>12.64</v>
      </c>
      <c r="BV10" s="564">
        <f t="shared" si="20"/>
        <v>1.1000000000000001</v>
      </c>
      <c r="BW10" s="564">
        <f t="shared" si="21"/>
        <v>0.31246000000000002</v>
      </c>
      <c r="BX10" s="564">
        <f t="shared" si="0"/>
        <v>4.3399999999999994E-2</v>
      </c>
      <c r="BY10" s="564">
        <f t="shared" si="22"/>
        <v>0.10763999999999999</v>
      </c>
      <c r="BZ10" s="564">
        <f t="shared" si="23"/>
        <v>8.0159999999999988E-3</v>
      </c>
      <c r="CA10" s="564">
        <f t="shared" si="24"/>
        <v>22.178416000000006</v>
      </c>
      <c r="CB10" s="611">
        <f t="shared" si="25"/>
        <v>0.92026622406639025</v>
      </c>
      <c r="CD10" s="610">
        <f t="shared" si="26"/>
        <v>0.87777777777777777</v>
      </c>
      <c r="CE10" s="610">
        <f t="shared" si="27"/>
        <v>0</v>
      </c>
      <c r="CF10" s="610">
        <f t="shared" si="1"/>
        <v>0.70000000000000018</v>
      </c>
      <c r="CG10" s="610">
        <f t="shared" si="2"/>
        <v>0.37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28.6</v>
      </c>
      <c r="E11" s="42">
        <v>0.01</v>
      </c>
      <c r="F11" s="43">
        <v>0.17</v>
      </c>
      <c r="G11" s="43">
        <v>8.4</v>
      </c>
      <c r="H11" s="345">
        <v>0.3</v>
      </c>
      <c r="I11" s="43">
        <v>3.1</v>
      </c>
      <c r="J11" s="43">
        <v>0.36</v>
      </c>
      <c r="K11" s="43">
        <v>0.05</v>
      </c>
      <c r="L11" s="45">
        <v>0.04</v>
      </c>
      <c r="M11" s="42">
        <v>290</v>
      </c>
      <c r="N11" s="43">
        <v>80</v>
      </c>
      <c r="O11" s="43">
        <v>56</v>
      </c>
      <c r="P11" s="43">
        <v>300</v>
      </c>
      <c r="Q11" s="43">
        <v>50</v>
      </c>
      <c r="R11" s="43" t="s">
        <v>259</v>
      </c>
      <c r="S11" s="43">
        <v>6.1</v>
      </c>
      <c r="T11" s="43">
        <v>6.9</v>
      </c>
      <c r="U11" s="43">
        <v>1.8</v>
      </c>
      <c r="V11" s="43">
        <v>4.7</v>
      </c>
      <c r="W11" s="43">
        <v>100</v>
      </c>
      <c r="X11" s="43">
        <v>6.7000000000000004E-2</v>
      </c>
      <c r="Y11" s="43">
        <v>3.3</v>
      </c>
      <c r="Z11" s="353">
        <v>8</v>
      </c>
      <c r="AA11" s="43">
        <v>30</v>
      </c>
      <c r="AB11" s="43">
        <v>0.47</v>
      </c>
      <c r="AC11" s="43">
        <v>1.8</v>
      </c>
      <c r="AD11" s="43">
        <v>0.28999999999999998</v>
      </c>
      <c r="AE11" s="43">
        <v>0.71</v>
      </c>
      <c r="AF11" s="43">
        <v>1.8</v>
      </c>
      <c r="AG11" s="43">
        <v>4.2000000000000003E-2</v>
      </c>
      <c r="AH11" s="43">
        <v>13</v>
      </c>
      <c r="AI11" s="43">
        <v>0.22</v>
      </c>
      <c r="AJ11" s="43">
        <v>0.27</v>
      </c>
      <c r="AK11" s="43" t="s">
        <v>552</v>
      </c>
      <c r="AL11" s="41" t="s">
        <v>256</v>
      </c>
      <c r="AM11" s="41">
        <v>0.35</v>
      </c>
      <c r="AN11" s="41" t="s">
        <v>253</v>
      </c>
      <c r="AO11" s="41" t="s">
        <v>293</v>
      </c>
      <c r="AP11" s="43">
        <v>4.3</v>
      </c>
      <c r="AQ11" s="45"/>
      <c r="AR11" s="42">
        <v>0.28999999999999998</v>
      </c>
      <c r="AS11" s="44">
        <v>3.1</v>
      </c>
      <c r="AT11" s="44">
        <v>1.2</v>
      </c>
      <c r="AU11" s="44">
        <v>0.91</v>
      </c>
      <c r="AV11" s="44">
        <v>1.9</v>
      </c>
      <c r="AW11" s="353">
        <v>3</v>
      </c>
      <c r="AX11" s="41">
        <v>0.17</v>
      </c>
      <c r="AY11" s="41">
        <v>0</v>
      </c>
      <c r="AZ11" s="41">
        <v>7.4</v>
      </c>
      <c r="BA11" s="41">
        <v>1.3</v>
      </c>
      <c r="BB11" s="45"/>
      <c r="BC11" s="620">
        <f t="shared" si="3"/>
        <v>1</v>
      </c>
      <c r="BD11" s="617">
        <f t="shared" si="4"/>
        <v>0.97692307692307689</v>
      </c>
      <c r="BE11" s="616"/>
      <c r="BF11" s="617">
        <f t="shared" si="5"/>
        <v>2.8169014084507044E-4</v>
      </c>
      <c r="BG11" s="617">
        <f t="shared" si="6"/>
        <v>2.7419354838709681E-3</v>
      </c>
      <c r="BH11" s="617">
        <f t="shared" si="7"/>
        <v>0.17500000000000002</v>
      </c>
      <c r="BI11" s="617">
        <f t="shared" si="8"/>
        <v>1.3043478260869565E-2</v>
      </c>
      <c r="BJ11" s="617">
        <f t="shared" si="9"/>
        <v>0.17222222222222222</v>
      </c>
      <c r="BK11" s="617">
        <f t="shared" si="10"/>
        <v>9.2307692307692299E-3</v>
      </c>
      <c r="BL11" s="617">
        <f t="shared" si="11"/>
        <v>4.11522633744856E-3</v>
      </c>
      <c r="BM11" s="617">
        <f t="shared" si="12"/>
        <v>2E-3</v>
      </c>
      <c r="BN11" s="621">
        <f t="shared" si="13"/>
        <v>178.02362562471606</v>
      </c>
      <c r="BO11" s="621">
        <f t="shared" si="14"/>
        <v>200.61169605130959</v>
      </c>
      <c r="BP11" s="618">
        <f t="shared" si="15"/>
        <v>0.88740402044746047</v>
      </c>
      <c r="BQ11" s="616"/>
      <c r="BR11" s="615">
        <f t="shared" si="16"/>
        <v>11.55</v>
      </c>
      <c r="BS11" s="615">
        <f t="shared" si="17"/>
        <v>0.21930000000000002</v>
      </c>
      <c r="BT11" s="615">
        <f t="shared" si="18"/>
        <v>0.75</v>
      </c>
      <c r="BU11" s="615">
        <f t="shared" si="19"/>
        <v>11.840000000000002</v>
      </c>
      <c r="BV11" s="615">
        <f t="shared" si="20"/>
        <v>1.3</v>
      </c>
      <c r="BW11" s="615">
        <f t="shared" si="21"/>
        <v>0.73520000000000008</v>
      </c>
      <c r="BX11" s="615">
        <f t="shared" si="0"/>
        <v>6.9999999999999993E-2</v>
      </c>
      <c r="BY11" s="615">
        <f t="shared" si="22"/>
        <v>0.13799999999999998</v>
      </c>
      <c r="BZ11" s="615">
        <f t="shared" si="23"/>
        <v>1.0186999999999998E-2</v>
      </c>
      <c r="CA11" s="615">
        <f t="shared" si="24"/>
        <v>26.612687000000005</v>
      </c>
      <c r="CB11" s="618">
        <f t="shared" si="25"/>
        <v>0.93051353146853155</v>
      </c>
      <c r="CC11" s="617"/>
      <c r="CD11" s="617">
        <f t="shared" si="26"/>
        <v>0.85057471264367812</v>
      </c>
      <c r="CE11" s="617">
        <f t="shared" si="27"/>
        <v>0</v>
      </c>
      <c r="CF11" s="617">
        <f t="shared" si="1"/>
        <v>1.1000000000000001</v>
      </c>
      <c r="CG11" s="617">
        <f t="shared" si="2"/>
        <v>0.17</v>
      </c>
    </row>
    <row r="12" spans="2:85" ht="20.149999999999999" customHeight="1" x14ac:dyDescent="0.2">
      <c r="B12" s="31" t="s">
        <v>202</v>
      </c>
      <c r="C12" s="46" t="s">
        <v>203</v>
      </c>
      <c r="D12" s="47">
        <v>20.6</v>
      </c>
      <c r="E12" s="48">
        <v>0.02</v>
      </c>
      <c r="F12" s="49">
        <v>0.35</v>
      </c>
      <c r="G12" s="49">
        <v>5.7</v>
      </c>
      <c r="H12" s="50">
        <v>0.41</v>
      </c>
      <c r="I12" s="49">
        <v>1.8</v>
      </c>
      <c r="J12" s="49">
        <v>0.18</v>
      </c>
      <c r="K12" s="49">
        <v>0.05</v>
      </c>
      <c r="L12" s="37">
        <v>0.05</v>
      </c>
      <c r="M12" s="48">
        <v>400</v>
      </c>
      <c r="N12" s="49">
        <v>37</v>
      </c>
      <c r="O12" s="49">
        <v>58</v>
      </c>
      <c r="P12" s="49">
        <v>150</v>
      </c>
      <c r="Q12" s="49">
        <v>48</v>
      </c>
      <c r="R12" s="625">
        <f t="shared" ref="R12:R18" si="28">0.5*0.02</f>
        <v>0.01</v>
      </c>
      <c r="S12" s="49">
        <v>4.5</v>
      </c>
      <c r="T12" s="49">
        <v>6.9</v>
      </c>
      <c r="U12" s="49">
        <v>1.2</v>
      </c>
      <c r="V12" s="49">
        <v>5.5</v>
      </c>
      <c r="W12" s="49">
        <v>110</v>
      </c>
      <c r="X12" s="49">
        <v>0.04</v>
      </c>
      <c r="Y12" s="49">
        <v>2.5</v>
      </c>
      <c r="Z12" s="346">
        <v>5</v>
      </c>
      <c r="AA12" s="49">
        <v>32</v>
      </c>
      <c r="AB12" s="49">
        <v>0.42</v>
      </c>
      <c r="AC12" s="49">
        <v>0.63</v>
      </c>
      <c r="AD12" s="49">
        <v>0.22</v>
      </c>
      <c r="AE12" s="49">
        <v>0.77</v>
      </c>
      <c r="AF12" s="346">
        <v>2</v>
      </c>
      <c r="AG12" s="49">
        <v>2.5000000000000001E-2</v>
      </c>
      <c r="AH12" s="49">
        <v>7.7</v>
      </c>
      <c r="AI12" s="49">
        <v>0.15</v>
      </c>
      <c r="AJ12" s="49">
        <v>0.16</v>
      </c>
      <c r="AK12" s="625">
        <f t="shared" ref="AK12:AK18" si="29">0.5*0.026</f>
        <v>1.2999999999999999E-2</v>
      </c>
      <c r="AL12" s="627">
        <f t="shared" ref="AL12:AL18" si="30">0.5*0.05</f>
        <v>2.5000000000000001E-2</v>
      </c>
      <c r="AM12" s="47">
        <v>0.36</v>
      </c>
      <c r="AN12" s="627">
        <f t="shared" ref="AN12:AN18" si="31">0.5*0.03</f>
        <v>1.4999999999999999E-2</v>
      </c>
      <c r="AO12" s="627">
        <f t="shared" ref="AO12:AO18" si="32">0.5*0.025</f>
        <v>1.2500000000000001E-2</v>
      </c>
      <c r="AP12" s="49">
        <v>5.6</v>
      </c>
      <c r="AQ12" s="37"/>
      <c r="AR12" s="48">
        <v>0.18</v>
      </c>
      <c r="AS12" s="50">
        <v>2.2000000000000002</v>
      </c>
      <c r="AT12" s="50">
        <v>1.1000000000000001</v>
      </c>
      <c r="AU12" s="50">
        <v>0.64</v>
      </c>
      <c r="AV12" s="50">
        <v>1.3</v>
      </c>
      <c r="AW12" s="49">
        <v>2.2000000000000002</v>
      </c>
      <c r="AX12" s="47">
        <v>0.26</v>
      </c>
      <c r="AY12" s="47">
        <v>0</v>
      </c>
      <c r="AZ12" s="47">
        <v>5.4</v>
      </c>
      <c r="BA12" s="47">
        <v>1.2</v>
      </c>
      <c r="BB12" s="37"/>
      <c r="BC12" s="619">
        <f t="shared" si="3"/>
        <v>1.0037037037037035</v>
      </c>
      <c r="BD12" s="610">
        <f t="shared" si="4"/>
        <v>0.96666666666666667</v>
      </c>
      <c r="BF12" s="610">
        <f t="shared" si="5"/>
        <v>5.6338028169014088E-4</v>
      </c>
      <c r="BG12" s="610">
        <f t="shared" si="6"/>
        <v>5.6451612903225803E-3</v>
      </c>
      <c r="BH12" s="610">
        <f t="shared" si="7"/>
        <v>0.11875000000000001</v>
      </c>
      <c r="BI12" s="610">
        <f t="shared" si="8"/>
        <v>1.7826086956521738E-2</v>
      </c>
      <c r="BJ12" s="610">
        <f t="shared" si="9"/>
        <v>0.1</v>
      </c>
      <c r="BK12" s="610">
        <f t="shared" si="10"/>
        <v>4.6153846153846149E-3</v>
      </c>
      <c r="BL12" s="610">
        <f t="shared" si="11"/>
        <v>4.11522633744856E-3</v>
      </c>
      <c r="BM12" s="610">
        <f t="shared" si="12"/>
        <v>2.5000000000000001E-3</v>
      </c>
      <c r="BN12" s="563">
        <f t="shared" si="13"/>
        <v>124.95854157201273</v>
      </c>
      <c r="BO12" s="563">
        <f t="shared" si="14"/>
        <v>129.05669790935491</v>
      </c>
      <c r="BP12" s="611">
        <f t="shared" si="15"/>
        <v>0.96824530300457101</v>
      </c>
      <c r="BR12" s="564">
        <f t="shared" si="16"/>
        <v>7.8375000000000004</v>
      </c>
      <c r="BS12" s="564">
        <f t="shared" si="17"/>
        <v>0.45149999999999996</v>
      </c>
      <c r="BT12" s="564">
        <f t="shared" si="18"/>
        <v>1.0249999999999999</v>
      </c>
      <c r="BU12" s="564">
        <f t="shared" si="19"/>
        <v>8.64</v>
      </c>
      <c r="BV12" s="564">
        <f t="shared" si="20"/>
        <v>1.2</v>
      </c>
      <c r="BW12" s="564">
        <f t="shared" si="21"/>
        <v>0.34003</v>
      </c>
      <c r="BX12" s="564">
        <f t="shared" si="0"/>
        <v>6.7199999999999996E-2</v>
      </c>
      <c r="BY12" s="564">
        <f t="shared" si="22"/>
        <v>0.15179999999999999</v>
      </c>
      <c r="BZ12" s="564">
        <f t="shared" si="23"/>
        <v>7.5149999999999991E-3</v>
      </c>
      <c r="CA12" s="564">
        <f t="shared" si="24"/>
        <v>19.720545000000001</v>
      </c>
      <c r="CB12" s="611">
        <f t="shared" si="25"/>
        <v>0.95730800970873786</v>
      </c>
      <c r="CC12" s="610"/>
      <c r="CD12" s="610">
        <f t="shared" si="26"/>
        <v>0.81818181818181812</v>
      </c>
      <c r="CE12" s="610">
        <f t="shared" si="27"/>
        <v>0</v>
      </c>
      <c r="CF12" s="610">
        <f t="shared" si="1"/>
        <v>0.90000000000000013</v>
      </c>
      <c r="CG12" s="610">
        <f t="shared" si="2"/>
        <v>0.26</v>
      </c>
    </row>
    <row r="13" spans="2:85" ht="20.149999999999999" customHeight="1" x14ac:dyDescent="0.2">
      <c r="B13" s="31" t="s">
        <v>202</v>
      </c>
      <c r="C13" s="40" t="s">
        <v>204</v>
      </c>
      <c r="D13" s="33">
        <v>28.9</v>
      </c>
      <c r="E13" s="34">
        <v>0.01</v>
      </c>
      <c r="F13" s="35">
        <v>0.36</v>
      </c>
      <c r="G13" s="35">
        <v>9.6</v>
      </c>
      <c r="H13" s="36">
        <v>0.25</v>
      </c>
      <c r="I13" s="35">
        <v>3.8</v>
      </c>
      <c r="J13" s="35">
        <v>0.15</v>
      </c>
      <c r="K13" s="35">
        <v>0.03</v>
      </c>
      <c r="L13" s="32">
        <v>0.03</v>
      </c>
      <c r="M13" s="34">
        <v>250</v>
      </c>
      <c r="N13" s="35">
        <v>35</v>
      </c>
      <c r="O13" s="35">
        <v>55</v>
      </c>
      <c r="P13" s="35">
        <v>120</v>
      </c>
      <c r="Q13" s="35">
        <v>44</v>
      </c>
      <c r="R13" s="624">
        <f t="shared" si="28"/>
        <v>0.01</v>
      </c>
      <c r="S13" s="35">
        <v>4.9000000000000004</v>
      </c>
      <c r="T13" s="35">
        <v>10</v>
      </c>
      <c r="U13" s="35">
        <v>1.5</v>
      </c>
      <c r="V13" s="35">
        <v>8.8000000000000007</v>
      </c>
      <c r="W13" s="35">
        <v>160</v>
      </c>
      <c r="X13" s="35">
        <v>5.6000000000000001E-2</v>
      </c>
      <c r="Y13" s="35">
        <v>3.7</v>
      </c>
      <c r="Z13" s="35">
        <v>4.5</v>
      </c>
      <c r="AA13" s="35">
        <v>41</v>
      </c>
      <c r="AB13" s="288">
        <v>1</v>
      </c>
      <c r="AC13" s="35">
        <v>1.2</v>
      </c>
      <c r="AD13" s="35">
        <v>0.25</v>
      </c>
      <c r="AE13" s="35">
        <v>0.83</v>
      </c>
      <c r="AF13" s="35">
        <v>1.4</v>
      </c>
      <c r="AG13" s="35">
        <v>4.1000000000000002E-2</v>
      </c>
      <c r="AH13" s="35">
        <v>4.9000000000000004</v>
      </c>
      <c r="AI13" s="35">
        <v>0.28999999999999998</v>
      </c>
      <c r="AJ13" s="35">
        <v>0.27</v>
      </c>
      <c r="AK13" s="624">
        <f t="shared" si="29"/>
        <v>1.2999999999999999E-2</v>
      </c>
      <c r="AL13" s="628">
        <f t="shared" si="30"/>
        <v>2.5000000000000001E-2</v>
      </c>
      <c r="AM13" s="33">
        <v>0.23</v>
      </c>
      <c r="AN13" s="628">
        <f t="shared" si="31"/>
        <v>1.4999999999999999E-2</v>
      </c>
      <c r="AO13" s="628">
        <f t="shared" si="32"/>
        <v>1.2500000000000001E-2</v>
      </c>
      <c r="AP13" s="35">
        <v>6.7</v>
      </c>
      <c r="AQ13" s="32"/>
      <c r="AR13" s="34">
        <v>0.5</v>
      </c>
      <c r="AS13" s="36">
        <v>2.1</v>
      </c>
      <c r="AT13" s="36">
        <v>0.93</v>
      </c>
      <c r="AU13" s="36">
        <v>0.89</v>
      </c>
      <c r="AV13" s="36">
        <v>1.7</v>
      </c>
      <c r="AW13" s="288">
        <v>3</v>
      </c>
      <c r="AX13" s="33">
        <v>0.28000000000000003</v>
      </c>
      <c r="AY13" s="33">
        <v>0.01</v>
      </c>
      <c r="AZ13" s="33">
        <v>6.1</v>
      </c>
      <c r="BA13" s="33">
        <v>1.6</v>
      </c>
      <c r="BB13" s="32"/>
      <c r="BC13" s="619">
        <f t="shared" si="3"/>
        <v>1.0032786885245903</v>
      </c>
      <c r="BD13" s="610">
        <f t="shared" si="4"/>
        <v>0.99375000000000002</v>
      </c>
      <c r="BF13" s="610">
        <f t="shared" si="5"/>
        <v>2.8169014084507044E-4</v>
      </c>
      <c r="BG13" s="610">
        <f t="shared" si="6"/>
        <v>5.8064516129032254E-3</v>
      </c>
      <c r="BH13" s="610">
        <f t="shared" si="7"/>
        <v>0.19999999999999998</v>
      </c>
      <c r="BI13" s="610">
        <f t="shared" si="8"/>
        <v>1.0869565217391304E-2</v>
      </c>
      <c r="BJ13" s="610">
        <f t="shared" si="9"/>
        <v>0.21111111111111111</v>
      </c>
      <c r="BK13" s="610">
        <f t="shared" si="10"/>
        <v>3.8461538461538459E-3</v>
      </c>
      <c r="BL13" s="610">
        <f t="shared" si="11"/>
        <v>2.4691358024691358E-3</v>
      </c>
      <c r="BM13" s="610">
        <f t="shared" si="12"/>
        <v>1.5E-3</v>
      </c>
      <c r="BN13" s="563">
        <f t="shared" si="13"/>
        <v>206.08814175374829</v>
      </c>
      <c r="BO13" s="563">
        <f t="shared" si="14"/>
        <v>229.79596597712538</v>
      </c>
      <c r="BP13" s="611">
        <f t="shared" si="15"/>
        <v>0.89683098168164954</v>
      </c>
      <c r="BR13" s="564">
        <f t="shared" si="16"/>
        <v>13.2</v>
      </c>
      <c r="BS13" s="564">
        <f t="shared" si="17"/>
        <v>0.46439999999999998</v>
      </c>
      <c r="BT13" s="564">
        <f t="shared" si="18"/>
        <v>0.625</v>
      </c>
      <c r="BU13" s="564">
        <f t="shared" si="19"/>
        <v>9.76</v>
      </c>
      <c r="BV13" s="564">
        <f t="shared" si="20"/>
        <v>1.6</v>
      </c>
      <c r="BW13" s="564">
        <f t="shared" si="21"/>
        <v>0.32164999999999999</v>
      </c>
      <c r="BX13" s="564">
        <f t="shared" si="0"/>
        <v>6.1599999999999995E-2</v>
      </c>
      <c r="BY13" s="564">
        <f t="shared" si="22"/>
        <v>0.2208</v>
      </c>
      <c r="BZ13" s="564">
        <f t="shared" si="23"/>
        <v>8.183000000000001E-3</v>
      </c>
      <c r="CA13" s="564">
        <f t="shared" si="24"/>
        <v>26.261632999999996</v>
      </c>
      <c r="CB13" s="611">
        <f t="shared" si="25"/>
        <v>0.90870702422145322</v>
      </c>
      <c r="CC13" s="610"/>
      <c r="CD13" s="610">
        <f t="shared" si="26"/>
        <v>0.79220779220779225</v>
      </c>
      <c r="CE13" s="610">
        <f t="shared" si="27"/>
        <v>0</v>
      </c>
      <c r="CF13" s="610">
        <f t="shared" ref="CF13:CF20" si="33">IF(AW13-AV13&gt;0,AW13-AV13,0)</f>
        <v>1.3</v>
      </c>
      <c r="CG13" s="610">
        <f t="shared" ref="CG13:CG20" si="34">IF(AW13-AV13&gt;0,AX13+AY13,AW13+AX13+AY13-AV13)</f>
        <v>0.29000000000000004</v>
      </c>
    </row>
    <row r="14" spans="2:85" ht="20.149999999999999" customHeight="1" x14ac:dyDescent="0.2">
      <c r="B14" s="31" t="s">
        <v>202</v>
      </c>
      <c r="C14" s="32" t="s">
        <v>205</v>
      </c>
      <c r="D14" s="33">
        <v>25.8</v>
      </c>
      <c r="E14" s="34">
        <v>0.01</v>
      </c>
      <c r="F14" s="341">
        <v>0.2</v>
      </c>
      <c r="G14" s="35">
        <v>12</v>
      </c>
      <c r="H14" s="36">
        <v>0.22</v>
      </c>
      <c r="I14" s="35">
        <v>4.4000000000000004</v>
      </c>
      <c r="J14" s="35">
        <v>0.14000000000000001</v>
      </c>
      <c r="K14" s="35">
        <v>0.02</v>
      </c>
      <c r="L14" s="32">
        <v>0.02</v>
      </c>
      <c r="M14" s="34">
        <v>200</v>
      </c>
      <c r="N14" s="35">
        <v>28</v>
      </c>
      <c r="O14" s="35">
        <v>56</v>
      </c>
      <c r="P14" s="35">
        <v>100</v>
      </c>
      <c r="Q14" s="35">
        <v>50</v>
      </c>
      <c r="R14" s="624">
        <f t="shared" si="28"/>
        <v>0.01</v>
      </c>
      <c r="S14" s="35">
        <v>4.8</v>
      </c>
      <c r="T14" s="35">
        <v>12</v>
      </c>
      <c r="U14" s="35">
        <v>1.8</v>
      </c>
      <c r="V14" s="35">
        <v>7.1</v>
      </c>
      <c r="W14" s="35">
        <v>130</v>
      </c>
      <c r="X14" s="35">
        <v>6.2E-2</v>
      </c>
      <c r="Y14" s="35">
        <v>4.5999999999999996</v>
      </c>
      <c r="Z14" s="35">
        <v>4.3</v>
      </c>
      <c r="AA14" s="35">
        <v>46</v>
      </c>
      <c r="AB14" s="35">
        <v>0.92</v>
      </c>
      <c r="AC14" s="35">
        <v>0.97</v>
      </c>
      <c r="AD14" s="35">
        <v>0.26</v>
      </c>
      <c r="AE14" s="35">
        <v>0.66</v>
      </c>
      <c r="AF14" s="35">
        <v>1.3</v>
      </c>
      <c r="AG14" s="35">
        <v>5.2999999999999999E-2</v>
      </c>
      <c r="AH14" s="35">
        <v>4.2</v>
      </c>
      <c r="AI14" s="35">
        <v>0.26</v>
      </c>
      <c r="AJ14" s="341">
        <v>0.3</v>
      </c>
      <c r="AK14" s="624">
        <f t="shared" si="29"/>
        <v>1.2999999999999999E-2</v>
      </c>
      <c r="AL14" s="628">
        <f t="shared" si="30"/>
        <v>2.5000000000000001E-2</v>
      </c>
      <c r="AM14" s="33">
        <v>0.36</v>
      </c>
      <c r="AN14" s="628">
        <f t="shared" si="31"/>
        <v>1.4999999999999999E-2</v>
      </c>
      <c r="AO14" s="628">
        <f t="shared" si="32"/>
        <v>1.2500000000000001E-2</v>
      </c>
      <c r="AP14" s="35">
        <v>5.7</v>
      </c>
      <c r="AQ14" s="32"/>
      <c r="AR14" s="34">
        <v>0.09</v>
      </c>
      <c r="AS14" s="36">
        <v>1.5</v>
      </c>
      <c r="AT14" s="36">
        <v>0.41</v>
      </c>
      <c r="AU14" s="36">
        <v>0.33</v>
      </c>
      <c r="AV14" s="36">
        <v>0.91</v>
      </c>
      <c r="AW14" s="35">
        <v>1.9</v>
      </c>
      <c r="AX14" s="33">
        <v>0.34</v>
      </c>
      <c r="AY14" s="33">
        <v>0</v>
      </c>
      <c r="AZ14" s="33">
        <v>3.2</v>
      </c>
      <c r="BA14" s="33">
        <v>1.3</v>
      </c>
      <c r="BB14" s="32"/>
      <c r="BC14" s="619">
        <f t="shared" si="3"/>
        <v>1.0125</v>
      </c>
      <c r="BD14" s="610">
        <f t="shared" si="4"/>
        <v>1.0230769230769228</v>
      </c>
      <c r="BF14" s="610">
        <f t="shared" si="5"/>
        <v>2.8169014084507044E-4</v>
      </c>
      <c r="BG14" s="610">
        <f t="shared" si="6"/>
        <v>3.2258064516129032E-3</v>
      </c>
      <c r="BH14" s="610">
        <f t="shared" si="7"/>
        <v>0.25</v>
      </c>
      <c r="BI14" s="610">
        <f t="shared" si="8"/>
        <v>9.5652173913043474E-3</v>
      </c>
      <c r="BJ14" s="610">
        <f t="shared" si="9"/>
        <v>0.24444444444444446</v>
      </c>
      <c r="BK14" s="610">
        <f t="shared" si="10"/>
        <v>3.5897435897435902E-3</v>
      </c>
      <c r="BL14" s="610">
        <f t="shared" si="11"/>
        <v>1.6460905349794238E-3</v>
      </c>
      <c r="BM14" s="610">
        <f t="shared" si="12"/>
        <v>1E-3</v>
      </c>
      <c r="BN14" s="563">
        <f t="shared" si="13"/>
        <v>253.50749659245798</v>
      </c>
      <c r="BO14" s="563">
        <f t="shared" si="14"/>
        <v>260.24549596047183</v>
      </c>
      <c r="BP14" s="611">
        <f t="shared" si="15"/>
        <v>0.97410906443108136</v>
      </c>
      <c r="BR14" s="564">
        <f t="shared" si="16"/>
        <v>16.5</v>
      </c>
      <c r="BS14" s="564">
        <f t="shared" si="17"/>
        <v>0.25800000000000001</v>
      </c>
      <c r="BT14" s="564">
        <f t="shared" si="18"/>
        <v>0.55000000000000004</v>
      </c>
      <c r="BU14" s="564">
        <f t="shared" si="19"/>
        <v>5.120000000000001</v>
      </c>
      <c r="BV14" s="564">
        <f t="shared" si="20"/>
        <v>1.3</v>
      </c>
      <c r="BW14" s="564">
        <f t="shared" si="21"/>
        <v>0.25731999999999999</v>
      </c>
      <c r="BX14" s="564">
        <f t="shared" si="0"/>
        <v>6.9999999999999993E-2</v>
      </c>
      <c r="BY14" s="564">
        <f t="shared" si="22"/>
        <v>0.1794</v>
      </c>
      <c r="BZ14" s="564">
        <f t="shared" si="23"/>
        <v>8.0159999999999988E-3</v>
      </c>
      <c r="CA14" s="564">
        <f t="shared" si="24"/>
        <v>24.242736000000004</v>
      </c>
      <c r="CB14" s="611">
        <f t="shared" si="25"/>
        <v>0.93964093023255824</v>
      </c>
      <c r="CC14" s="610"/>
      <c r="CD14" s="610">
        <f t="shared" si="26"/>
        <v>0.71111111111111114</v>
      </c>
      <c r="CE14" s="610">
        <f t="shared" si="27"/>
        <v>0</v>
      </c>
      <c r="CF14" s="610">
        <f t="shared" si="33"/>
        <v>0.98999999999999988</v>
      </c>
      <c r="CG14" s="610">
        <f t="shared" si="34"/>
        <v>0.34</v>
      </c>
    </row>
    <row r="15" spans="2:85" ht="20.149999999999999" customHeight="1" x14ac:dyDescent="0.2">
      <c r="B15" s="31" t="s">
        <v>202</v>
      </c>
      <c r="C15" s="32" t="s">
        <v>206</v>
      </c>
      <c r="D15" s="33">
        <v>24.5</v>
      </c>
      <c r="E15" s="623">
        <f>0.5*0.01</f>
        <v>5.0000000000000001E-3</v>
      </c>
      <c r="F15" s="35">
        <v>0.12</v>
      </c>
      <c r="G15" s="35">
        <v>9.9</v>
      </c>
      <c r="H15" s="36">
        <v>0.15</v>
      </c>
      <c r="I15" s="35">
        <v>3.8</v>
      </c>
      <c r="J15" s="35">
        <v>0.12</v>
      </c>
      <c r="K15" s="35">
        <v>0.02</v>
      </c>
      <c r="L15" s="32">
        <v>0.03</v>
      </c>
      <c r="M15" s="34">
        <v>170</v>
      </c>
      <c r="N15" s="35">
        <v>46</v>
      </c>
      <c r="O15" s="35">
        <v>64</v>
      </c>
      <c r="P15" s="35">
        <v>98</v>
      </c>
      <c r="Q15" s="35">
        <v>35</v>
      </c>
      <c r="R15" s="624">
        <f t="shared" si="28"/>
        <v>0.01</v>
      </c>
      <c r="S15" s="35">
        <v>5.2</v>
      </c>
      <c r="T15" s="35">
        <v>12</v>
      </c>
      <c r="U15" s="35">
        <v>1.2</v>
      </c>
      <c r="V15" s="35">
        <v>6.5</v>
      </c>
      <c r="W15" s="35">
        <v>110</v>
      </c>
      <c r="X15" s="35">
        <v>5.8999999999999997E-2</v>
      </c>
      <c r="Y15" s="288">
        <v>4</v>
      </c>
      <c r="Z15" s="35">
        <v>4.8</v>
      </c>
      <c r="AA15" s="35">
        <v>30</v>
      </c>
      <c r="AB15" s="35">
        <v>0.95</v>
      </c>
      <c r="AC15" s="35">
        <v>2.2999999999999998</v>
      </c>
      <c r="AD15" s="35">
        <v>0.22</v>
      </c>
      <c r="AE15" s="35">
        <v>0.68</v>
      </c>
      <c r="AF15" s="35">
        <v>1.1000000000000001</v>
      </c>
      <c r="AG15" s="35">
        <v>3.4000000000000002E-2</v>
      </c>
      <c r="AH15" s="35">
        <v>3.9</v>
      </c>
      <c r="AI15" s="35">
        <v>0.19</v>
      </c>
      <c r="AJ15" s="35">
        <v>0.41</v>
      </c>
      <c r="AK15" s="624">
        <f t="shared" si="29"/>
        <v>1.2999999999999999E-2</v>
      </c>
      <c r="AL15" s="628">
        <f t="shared" si="30"/>
        <v>2.5000000000000001E-2</v>
      </c>
      <c r="AM15" s="33">
        <v>0.28999999999999998</v>
      </c>
      <c r="AN15" s="628">
        <f t="shared" si="31"/>
        <v>1.4999999999999999E-2</v>
      </c>
      <c r="AO15" s="628">
        <f t="shared" si="32"/>
        <v>1.2500000000000001E-2</v>
      </c>
      <c r="AP15" s="35">
        <v>5.4</v>
      </c>
      <c r="AQ15" s="32"/>
      <c r="AR15" s="34">
        <v>0.13</v>
      </c>
      <c r="AS15" s="36">
        <v>1.5</v>
      </c>
      <c r="AT15" s="36">
        <v>0.42</v>
      </c>
      <c r="AU15" s="36">
        <v>0.36</v>
      </c>
      <c r="AV15" s="36">
        <v>1.1000000000000001</v>
      </c>
      <c r="AW15" s="35">
        <v>1.8</v>
      </c>
      <c r="AX15" s="33">
        <v>0.35</v>
      </c>
      <c r="AY15" s="33">
        <v>0</v>
      </c>
      <c r="AZ15" s="33">
        <v>3.5</v>
      </c>
      <c r="BA15" s="33">
        <v>1.1000000000000001</v>
      </c>
      <c r="BB15" s="32"/>
      <c r="BC15" s="619">
        <f t="shared" si="3"/>
        <v>1.0028571428571429</v>
      </c>
      <c r="BD15" s="610">
        <f t="shared" si="4"/>
        <v>0.95454545454545425</v>
      </c>
      <c r="BF15" s="610">
        <f t="shared" si="5"/>
        <v>1.4084507042253522E-4</v>
      </c>
      <c r="BG15" s="610">
        <f t="shared" si="6"/>
        <v>1.9354838709677419E-3</v>
      </c>
      <c r="BH15" s="610">
        <f t="shared" si="7"/>
        <v>0.20625000000000002</v>
      </c>
      <c r="BI15" s="610">
        <f t="shared" si="8"/>
        <v>6.5217391304347823E-3</v>
      </c>
      <c r="BJ15" s="610">
        <f t="shared" si="9"/>
        <v>0.21111111111111111</v>
      </c>
      <c r="BK15" s="610">
        <f t="shared" si="10"/>
        <v>3.0769230769230769E-3</v>
      </c>
      <c r="BL15" s="610">
        <f t="shared" si="11"/>
        <v>1.6460905349794238E-3</v>
      </c>
      <c r="BM15" s="610">
        <f t="shared" si="12"/>
        <v>1.5E-3</v>
      </c>
      <c r="BN15" s="563">
        <f t="shared" si="13"/>
        <v>208.3263289413903</v>
      </c>
      <c r="BO15" s="563">
        <f t="shared" si="14"/>
        <v>223.8558638534484</v>
      </c>
      <c r="BP15" s="611">
        <f t="shared" si="15"/>
        <v>0.93062708010085982</v>
      </c>
      <c r="BR15" s="564">
        <f t="shared" si="16"/>
        <v>13.612500000000001</v>
      </c>
      <c r="BS15" s="564">
        <f t="shared" si="17"/>
        <v>0.15479999999999999</v>
      </c>
      <c r="BT15" s="564">
        <f t="shared" si="18"/>
        <v>0.375</v>
      </c>
      <c r="BU15" s="564">
        <f t="shared" si="19"/>
        <v>5.6000000000000005</v>
      </c>
      <c r="BV15" s="564">
        <f t="shared" si="20"/>
        <v>1.1000000000000001</v>
      </c>
      <c r="BW15" s="564">
        <f t="shared" si="21"/>
        <v>0.42274</v>
      </c>
      <c r="BX15" s="564">
        <f t="shared" si="0"/>
        <v>4.9000000000000002E-2</v>
      </c>
      <c r="BY15" s="564">
        <f t="shared" si="22"/>
        <v>0.15179999999999999</v>
      </c>
      <c r="BZ15" s="564">
        <f t="shared" si="23"/>
        <v>8.683999999999999E-3</v>
      </c>
      <c r="CA15" s="564">
        <f t="shared" si="24"/>
        <v>21.474524000000002</v>
      </c>
      <c r="CB15" s="611">
        <f t="shared" si="25"/>
        <v>0.87651118367346947</v>
      </c>
      <c r="CC15" s="610"/>
      <c r="CD15" s="610">
        <f t="shared" si="26"/>
        <v>0.76086956521739135</v>
      </c>
      <c r="CE15" s="610">
        <f t="shared" si="27"/>
        <v>0</v>
      </c>
      <c r="CF15" s="610">
        <f t="shared" si="33"/>
        <v>0.7</v>
      </c>
      <c r="CG15" s="610">
        <f t="shared" si="34"/>
        <v>0.35</v>
      </c>
    </row>
    <row r="16" spans="2:85" ht="20.149999999999999" customHeight="1" x14ac:dyDescent="0.2">
      <c r="B16" s="31" t="s">
        <v>202</v>
      </c>
      <c r="C16" s="32" t="s">
        <v>207</v>
      </c>
      <c r="D16" s="33">
        <v>31.2</v>
      </c>
      <c r="E16" s="623">
        <f>0.5*0.01</f>
        <v>5.0000000000000001E-3</v>
      </c>
      <c r="F16" s="341">
        <v>0.1</v>
      </c>
      <c r="G16" s="35">
        <v>15</v>
      </c>
      <c r="H16" s="36">
        <v>0.11</v>
      </c>
      <c r="I16" s="35">
        <v>5.6</v>
      </c>
      <c r="J16" s="35">
        <v>0.16</v>
      </c>
      <c r="K16" s="35">
        <v>0.01</v>
      </c>
      <c r="L16" s="32">
        <v>0.04</v>
      </c>
      <c r="M16" s="34">
        <v>120</v>
      </c>
      <c r="N16" s="35">
        <v>43</v>
      </c>
      <c r="O16" s="35">
        <v>85</v>
      </c>
      <c r="P16" s="35">
        <v>120</v>
      </c>
      <c r="Q16" s="35">
        <v>45</v>
      </c>
      <c r="R16" s="624">
        <f t="shared" si="28"/>
        <v>0.01</v>
      </c>
      <c r="S16" s="35">
        <v>4.9000000000000004</v>
      </c>
      <c r="T16" s="35">
        <v>16</v>
      </c>
      <c r="U16" s="35">
        <v>1.2</v>
      </c>
      <c r="V16" s="35">
        <v>6.6</v>
      </c>
      <c r="W16" s="35">
        <v>100</v>
      </c>
      <c r="X16" s="35">
        <v>7.9000000000000001E-2</v>
      </c>
      <c r="Y16" s="35">
        <v>5.4</v>
      </c>
      <c r="Z16" s="35">
        <v>4.5999999999999996</v>
      </c>
      <c r="AA16" s="35">
        <v>31</v>
      </c>
      <c r="AB16" s="35">
        <v>1.8</v>
      </c>
      <c r="AC16" s="288">
        <v>2</v>
      </c>
      <c r="AD16" s="35">
        <v>0.32</v>
      </c>
      <c r="AE16" s="341">
        <v>0.6</v>
      </c>
      <c r="AF16" s="35">
        <v>1.5</v>
      </c>
      <c r="AG16" s="35">
        <v>5.3999999999999999E-2</v>
      </c>
      <c r="AH16" s="35">
        <v>4.2</v>
      </c>
      <c r="AI16" s="35">
        <v>0.17</v>
      </c>
      <c r="AJ16" s="35">
        <v>0.32</v>
      </c>
      <c r="AK16" s="624">
        <f t="shared" si="29"/>
        <v>1.2999999999999999E-2</v>
      </c>
      <c r="AL16" s="628">
        <f t="shared" si="30"/>
        <v>2.5000000000000001E-2</v>
      </c>
      <c r="AM16" s="33">
        <v>0.28999999999999998</v>
      </c>
      <c r="AN16" s="628">
        <f t="shared" si="31"/>
        <v>1.4999999999999999E-2</v>
      </c>
      <c r="AO16" s="628">
        <f t="shared" si="32"/>
        <v>1.2500000000000001E-2</v>
      </c>
      <c r="AP16" s="35">
        <v>8.5</v>
      </c>
      <c r="AQ16" s="32"/>
      <c r="AR16" s="437">
        <v>0.1</v>
      </c>
      <c r="AS16" s="36">
        <v>1.8</v>
      </c>
      <c r="AT16" s="36">
        <v>0.42</v>
      </c>
      <c r="AU16" s="36">
        <v>0.48</v>
      </c>
      <c r="AV16" s="349">
        <v>1</v>
      </c>
      <c r="AW16" s="35">
        <v>1.9</v>
      </c>
      <c r="AX16" s="33">
        <v>0.46</v>
      </c>
      <c r="AY16" s="33">
        <v>0.01</v>
      </c>
      <c r="AZ16" s="33">
        <v>3.8</v>
      </c>
      <c r="BA16" s="33">
        <v>1.4</v>
      </c>
      <c r="BB16" s="32"/>
      <c r="BC16" s="619">
        <f t="shared" si="3"/>
        <v>1.0000000000000002</v>
      </c>
      <c r="BD16" s="610">
        <f t="shared" si="4"/>
        <v>0.97857142857142843</v>
      </c>
      <c r="BF16" s="610">
        <f t="shared" si="5"/>
        <v>1.4084507042253522E-4</v>
      </c>
      <c r="BG16" s="610">
        <f t="shared" si="6"/>
        <v>1.6129032258064516E-3</v>
      </c>
      <c r="BH16" s="610">
        <f t="shared" si="7"/>
        <v>0.3125</v>
      </c>
      <c r="BI16" s="610">
        <f t="shared" si="8"/>
        <v>4.7826086956521737E-3</v>
      </c>
      <c r="BJ16" s="610">
        <f t="shared" si="9"/>
        <v>0.31111111111111112</v>
      </c>
      <c r="BK16" s="610">
        <f t="shared" si="10"/>
        <v>4.1025641025641026E-3</v>
      </c>
      <c r="BL16" s="610">
        <f t="shared" si="11"/>
        <v>8.2304526748971192E-4</v>
      </c>
      <c r="BM16" s="610">
        <f t="shared" si="12"/>
        <v>2E-3</v>
      </c>
      <c r="BN16" s="563">
        <f t="shared" si="13"/>
        <v>314.25374829622899</v>
      </c>
      <c r="BO16" s="563">
        <f t="shared" si="14"/>
        <v>322.81932917681712</v>
      </c>
      <c r="BP16" s="611">
        <f t="shared" si="15"/>
        <v>0.97346633207363953</v>
      </c>
      <c r="BR16" s="564">
        <f t="shared" si="16"/>
        <v>20.625</v>
      </c>
      <c r="BS16" s="564">
        <f t="shared" si="17"/>
        <v>0.129</v>
      </c>
      <c r="BT16" s="564">
        <f t="shared" si="18"/>
        <v>0.27500000000000002</v>
      </c>
      <c r="BU16" s="564">
        <f t="shared" si="19"/>
        <v>6.08</v>
      </c>
      <c r="BV16" s="564">
        <f t="shared" si="20"/>
        <v>1.4</v>
      </c>
      <c r="BW16" s="564">
        <f t="shared" si="21"/>
        <v>0.39517000000000002</v>
      </c>
      <c r="BX16" s="564">
        <f t="shared" si="0"/>
        <v>6.3E-2</v>
      </c>
      <c r="BY16" s="564">
        <f t="shared" si="22"/>
        <v>0.13799999999999998</v>
      </c>
      <c r="BZ16" s="564">
        <f t="shared" si="23"/>
        <v>8.183000000000001E-3</v>
      </c>
      <c r="CA16" s="564">
        <f t="shared" si="24"/>
        <v>29.113353</v>
      </c>
      <c r="CB16" s="611">
        <f t="shared" si="25"/>
        <v>0.93312028846153849</v>
      </c>
      <c r="CC16" s="610"/>
      <c r="CD16" s="610">
        <f t="shared" si="26"/>
        <v>0.73076923076923084</v>
      </c>
      <c r="CE16" s="610">
        <f t="shared" si="27"/>
        <v>0</v>
      </c>
      <c r="CF16" s="610">
        <f t="shared" si="33"/>
        <v>0.89999999999999991</v>
      </c>
      <c r="CG16" s="610">
        <f t="shared" si="34"/>
        <v>0.47000000000000003</v>
      </c>
    </row>
    <row r="17" spans="2:85" ht="20.149999999999999" customHeight="1" x14ac:dyDescent="0.2">
      <c r="B17" s="31" t="s">
        <v>202</v>
      </c>
      <c r="C17" s="32" t="s">
        <v>208</v>
      </c>
      <c r="D17" s="33">
        <v>25.4</v>
      </c>
      <c r="E17" s="34">
        <v>0.02</v>
      </c>
      <c r="F17" s="35">
        <v>0.08</v>
      </c>
      <c r="G17" s="35">
        <v>9.6999999999999993</v>
      </c>
      <c r="H17" s="36">
        <v>0.06</v>
      </c>
      <c r="I17" s="35">
        <v>3.8</v>
      </c>
      <c r="J17" s="35">
        <v>0.36</v>
      </c>
      <c r="K17" s="35">
        <v>0.03</v>
      </c>
      <c r="L17" s="32">
        <v>0.03</v>
      </c>
      <c r="M17" s="34">
        <v>72</v>
      </c>
      <c r="N17" s="35">
        <v>92</v>
      </c>
      <c r="O17" s="35">
        <v>86</v>
      </c>
      <c r="P17" s="35">
        <v>360</v>
      </c>
      <c r="Q17" s="35">
        <v>40</v>
      </c>
      <c r="R17" s="624">
        <f t="shared" si="28"/>
        <v>0.01</v>
      </c>
      <c r="S17" s="35">
        <v>8.3000000000000007</v>
      </c>
      <c r="T17" s="35">
        <v>6.7</v>
      </c>
      <c r="U17" s="35">
        <v>1.6</v>
      </c>
      <c r="V17" s="35">
        <v>4.5999999999999996</v>
      </c>
      <c r="W17" s="35">
        <v>76</v>
      </c>
      <c r="X17" s="35">
        <v>5.5E-2</v>
      </c>
      <c r="Y17" s="35">
        <v>2.4</v>
      </c>
      <c r="Z17" s="35">
        <v>12</v>
      </c>
      <c r="AA17" s="35">
        <v>22</v>
      </c>
      <c r="AB17" s="35">
        <v>1.4</v>
      </c>
      <c r="AC17" s="35">
        <v>1.5</v>
      </c>
      <c r="AD17" s="35">
        <v>0.28000000000000003</v>
      </c>
      <c r="AE17" s="35">
        <v>0.41</v>
      </c>
      <c r="AF17" s="35">
        <v>4.4000000000000004</v>
      </c>
      <c r="AG17" s="35">
        <v>3.3000000000000002E-2</v>
      </c>
      <c r="AH17" s="35">
        <v>21</v>
      </c>
      <c r="AI17" s="341">
        <v>0.2</v>
      </c>
      <c r="AJ17" s="35">
        <v>0.36</v>
      </c>
      <c r="AK17" s="624">
        <f t="shared" si="29"/>
        <v>1.2999999999999999E-2</v>
      </c>
      <c r="AL17" s="628">
        <f t="shared" si="30"/>
        <v>2.5000000000000001E-2</v>
      </c>
      <c r="AM17" s="33">
        <v>0.19</v>
      </c>
      <c r="AN17" s="628">
        <f t="shared" si="31"/>
        <v>1.4999999999999999E-2</v>
      </c>
      <c r="AO17" s="628">
        <f t="shared" si="32"/>
        <v>1.2500000000000001E-2</v>
      </c>
      <c r="AP17" s="35">
        <v>7.5</v>
      </c>
      <c r="AQ17" s="32"/>
      <c r="AR17" s="34">
        <v>0.24</v>
      </c>
      <c r="AS17" s="349">
        <v>2</v>
      </c>
      <c r="AT17" s="36">
        <v>0.72</v>
      </c>
      <c r="AU17" s="343">
        <v>0.7</v>
      </c>
      <c r="AV17" s="36">
        <v>1.2</v>
      </c>
      <c r="AW17" s="288">
        <v>2</v>
      </c>
      <c r="AX17" s="33">
        <v>0.38</v>
      </c>
      <c r="AY17" s="33">
        <v>0.04</v>
      </c>
      <c r="AZ17" s="33">
        <v>4.9000000000000004</v>
      </c>
      <c r="BA17" s="33">
        <v>1.2</v>
      </c>
      <c r="BB17" s="32"/>
      <c r="BC17" s="619">
        <f t="shared" si="3"/>
        <v>0.99183673469387756</v>
      </c>
      <c r="BD17" s="610">
        <f t="shared" si="4"/>
        <v>1.0166666666666666</v>
      </c>
      <c r="BF17" s="610">
        <f t="shared" si="5"/>
        <v>5.6338028169014088E-4</v>
      </c>
      <c r="BG17" s="610">
        <f t="shared" si="6"/>
        <v>1.2903225806451613E-3</v>
      </c>
      <c r="BH17" s="610">
        <f t="shared" si="7"/>
        <v>0.20208333333333331</v>
      </c>
      <c r="BI17" s="610">
        <f t="shared" si="8"/>
        <v>2.6086956521739128E-3</v>
      </c>
      <c r="BJ17" s="610">
        <f t="shared" si="9"/>
        <v>0.21111111111111111</v>
      </c>
      <c r="BK17" s="610">
        <f t="shared" si="10"/>
        <v>9.2307692307692299E-3</v>
      </c>
      <c r="BL17" s="610">
        <f t="shared" si="11"/>
        <v>2.4691358024691358E-3</v>
      </c>
      <c r="BM17" s="610">
        <f t="shared" si="12"/>
        <v>1.5E-3</v>
      </c>
      <c r="BN17" s="563">
        <f t="shared" si="13"/>
        <v>203.93703619566861</v>
      </c>
      <c r="BO17" s="563">
        <f t="shared" si="14"/>
        <v>226.91971179652339</v>
      </c>
      <c r="BP17" s="611">
        <f t="shared" si="15"/>
        <v>0.89871891067152809</v>
      </c>
      <c r="BR17" s="564">
        <f t="shared" si="16"/>
        <v>13.337499999999999</v>
      </c>
      <c r="BS17" s="564">
        <f t="shared" si="17"/>
        <v>0.1032</v>
      </c>
      <c r="BT17" s="564">
        <f t="shared" si="18"/>
        <v>0.15</v>
      </c>
      <c r="BU17" s="564">
        <f t="shared" si="19"/>
        <v>7.8400000000000007</v>
      </c>
      <c r="BV17" s="564">
        <f t="shared" si="20"/>
        <v>1.2</v>
      </c>
      <c r="BW17" s="564">
        <f t="shared" si="21"/>
        <v>0.84548000000000001</v>
      </c>
      <c r="BX17" s="564">
        <f t="shared" si="0"/>
        <v>5.5999999999999994E-2</v>
      </c>
      <c r="BY17" s="564">
        <f t="shared" si="22"/>
        <v>0.10487999999999999</v>
      </c>
      <c r="BZ17" s="564">
        <f t="shared" si="23"/>
        <v>1.3861E-2</v>
      </c>
      <c r="CA17" s="564">
        <f t="shared" si="24"/>
        <v>23.650920999999997</v>
      </c>
      <c r="CB17" s="611">
        <f t="shared" si="25"/>
        <v>0.93113862204724407</v>
      </c>
      <c r="CC17" s="610"/>
      <c r="CD17" s="610">
        <f t="shared" si="26"/>
        <v>0.80327868852459017</v>
      </c>
      <c r="CE17" s="610">
        <f t="shared" si="27"/>
        <v>0</v>
      </c>
      <c r="CF17" s="610">
        <f t="shared" si="33"/>
        <v>0.8</v>
      </c>
      <c r="CG17" s="610">
        <f t="shared" si="34"/>
        <v>0.42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24.1</v>
      </c>
      <c r="E18" s="42">
        <v>0.01</v>
      </c>
      <c r="F18" s="43">
        <v>0.08</v>
      </c>
      <c r="G18" s="43">
        <v>10</v>
      </c>
      <c r="H18" s="44">
        <v>0.13</v>
      </c>
      <c r="I18" s="43">
        <v>4.0999999999999996</v>
      </c>
      <c r="J18" s="43">
        <v>0.21</v>
      </c>
      <c r="K18" s="43">
        <v>0.02</v>
      </c>
      <c r="L18" s="45">
        <v>0.04</v>
      </c>
      <c r="M18" s="42">
        <v>110</v>
      </c>
      <c r="N18" s="43">
        <v>67</v>
      </c>
      <c r="O18" s="43">
        <v>120</v>
      </c>
      <c r="P18" s="43">
        <v>200</v>
      </c>
      <c r="Q18" s="43">
        <v>59</v>
      </c>
      <c r="R18" s="626">
        <f t="shared" si="28"/>
        <v>0.01</v>
      </c>
      <c r="S18" s="43">
        <v>5.9</v>
      </c>
      <c r="T18" s="43">
        <v>7.5</v>
      </c>
      <c r="U18" s="43">
        <v>1.5</v>
      </c>
      <c r="V18" s="43">
        <v>5.5</v>
      </c>
      <c r="W18" s="43">
        <v>100</v>
      </c>
      <c r="X18" s="43">
        <v>7.0999999999999994E-2</v>
      </c>
      <c r="Y18" s="43">
        <v>2.8</v>
      </c>
      <c r="Z18" s="43">
        <v>6.4</v>
      </c>
      <c r="AA18" s="43">
        <v>39</v>
      </c>
      <c r="AB18" s="43">
        <v>1.9</v>
      </c>
      <c r="AC18" s="43">
        <v>1.4</v>
      </c>
      <c r="AD18" s="43">
        <v>0.36</v>
      </c>
      <c r="AE18" s="43">
        <v>0.64</v>
      </c>
      <c r="AF18" s="43">
        <v>1.7</v>
      </c>
      <c r="AG18" s="43">
        <v>4.9000000000000002E-2</v>
      </c>
      <c r="AH18" s="43">
        <v>9.4</v>
      </c>
      <c r="AI18" s="43">
        <v>0.13</v>
      </c>
      <c r="AJ18" s="43">
        <v>0.22</v>
      </c>
      <c r="AK18" s="626">
        <f t="shared" si="29"/>
        <v>1.2999999999999999E-2</v>
      </c>
      <c r="AL18" s="629">
        <f t="shared" si="30"/>
        <v>2.5000000000000001E-2</v>
      </c>
      <c r="AM18" s="41">
        <v>0.28999999999999998</v>
      </c>
      <c r="AN18" s="629">
        <f t="shared" si="31"/>
        <v>1.4999999999999999E-2</v>
      </c>
      <c r="AO18" s="629">
        <f t="shared" si="32"/>
        <v>1.2500000000000001E-2</v>
      </c>
      <c r="AP18" s="353">
        <v>9</v>
      </c>
      <c r="AQ18" s="45"/>
      <c r="AR18" s="42">
        <v>0.16</v>
      </c>
      <c r="AS18" s="44">
        <v>1.6</v>
      </c>
      <c r="AT18" s="44">
        <v>0.39</v>
      </c>
      <c r="AU18" s="44">
        <v>0.39</v>
      </c>
      <c r="AV18" s="44">
        <v>0.92</v>
      </c>
      <c r="AW18" s="43">
        <v>1.5</v>
      </c>
      <c r="AX18" s="41">
        <v>0.34</v>
      </c>
      <c r="AY18" s="41">
        <v>0</v>
      </c>
      <c r="AZ18" s="41">
        <v>3.5</v>
      </c>
      <c r="BA18" s="41">
        <v>0.92</v>
      </c>
      <c r="BB18" s="45"/>
      <c r="BC18" s="620">
        <f t="shared" si="3"/>
        <v>0.98857142857142855</v>
      </c>
      <c r="BD18" s="617">
        <f t="shared" si="4"/>
        <v>1</v>
      </c>
      <c r="BE18" s="616"/>
      <c r="BF18" s="617">
        <f t="shared" si="5"/>
        <v>2.8169014084507044E-4</v>
      </c>
      <c r="BG18" s="617">
        <f t="shared" si="6"/>
        <v>1.2903225806451613E-3</v>
      </c>
      <c r="BH18" s="617">
        <f t="shared" si="7"/>
        <v>0.20833333333333334</v>
      </c>
      <c r="BI18" s="617">
        <f t="shared" si="8"/>
        <v>5.6521739130434784E-3</v>
      </c>
      <c r="BJ18" s="617">
        <f t="shared" si="9"/>
        <v>0.22777777777777775</v>
      </c>
      <c r="BK18" s="617">
        <f t="shared" si="10"/>
        <v>5.3846153846153844E-3</v>
      </c>
      <c r="BL18" s="617">
        <f t="shared" si="11"/>
        <v>1.6460905349794238E-3</v>
      </c>
      <c r="BM18" s="617">
        <f t="shared" si="12"/>
        <v>2E-3</v>
      </c>
      <c r="BN18" s="621">
        <f t="shared" si="13"/>
        <v>209.90534605482358</v>
      </c>
      <c r="BO18" s="621">
        <f t="shared" si="14"/>
        <v>242.46065761041601</v>
      </c>
      <c r="BP18" s="618">
        <f t="shared" si="15"/>
        <v>0.86572950895851297</v>
      </c>
      <c r="BQ18" s="616"/>
      <c r="BR18" s="615">
        <f t="shared" si="16"/>
        <v>13.75</v>
      </c>
      <c r="BS18" s="615">
        <f t="shared" si="17"/>
        <v>0.1032</v>
      </c>
      <c r="BT18" s="615">
        <f t="shared" si="18"/>
        <v>0.32500000000000001</v>
      </c>
      <c r="BU18" s="615">
        <f t="shared" si="19"/>
        <v>5.6000000000000005</v>
      </c>
      <c r="BV18" s="615">
        <f t="shared" si="20"/>
        <v>0.92</v>
      </c>
      <c r="BW18" s="615">
        <f t="shared" si="21"/>
        <v>0.61573</v>
      </c>
      <c r="BX18" s="615">
        <f t="shared" si="0"/>
        <v>8.2599999999999993E-2</v>
      </c>
      <c r="BY18" s="615">
        <f t="shared" si="22"/>
        <v>0.13799999999999998</v>
      </c>
      <c r="BZ18" s="615">
        <f t="shared" si="23"/>
        <v>9.8530000000000006E-3</v>
      </c>
      <c r="CA18" s="615">
        <f t="shared" si="24"/>
        <v>21.544383</v>
      </c>
      <c r="CB18" s="618">
        <f t="shared" si="25"/>
        <v>0.89395780082987542</v>
      </c>
      <c r="CC18" s="617"/>
      <c r="CD18" s="617">
        <f t="shared" si="26"/>
        <v>0.79185520361990946</v>
      </c>
      <c r="CE18" s="617">
        <f t="shared" si="27"/>
        <v>0</v>
      </c>
      <c r="CF18" s="617">
        <f t="shared" si="33"/>
        <v>0.57999999999999996</v>
      </c>
      <c r="CG18" s="617">
        <f t="shared" si="34"/>
        <v>0.34</v>
      </c>
    </row>
    <row r="19" spans="2:85" ht="20.149999999999999" customHeight="1" x14ac:dyDescent="0.2">
      <c r="B19" s="31" t="s">
        <v>61</v>
      </c>
      <c r="C19" s="46" t="s">
        <v>92</v>
      </c>
      <c r="D19" s="47">
        <v>30.4</v>
      </c>
      <c r="E19" s="48" t="s">
        <v>531</v>
      </c>
      <c r="F19" s="49">
        <v>0.08</v>
      </c>
      <c r="G19" s="49">
        <v>13</v>
      </c>
      <c r="H19" s="50">
        <v>0.12</v>
      </c>
      <c r="I19" s="49">
        <v>5.0999999999999996</v>
      </c>
      <c r="J19" s="49">
        <v>0.19</v>
      </c>
      <c r="K19" s="49">
        <v>0.02</v>
      </c>
      <c r="L19" s="37">
        <v>0.04</v>
      </c>
      <c r="M19" s="48">
        <v>140</v>
      </c>
      <c r="N19" s="49">
        <v>84</v>
      </c>
      <c r="O19" s="49">
        <v>150</v>
      </c>
      <c r="P19" s="49">
        <v>170</v>
      </c>
      <c r="Q19" s="49">
        <v>61</v>
      </c>
      <c r="R19" s="49" t="s">
        <v>259</v>
      </c>
      <c r="S19" s="49">
        <v>7.5</v>
      </c>
      <c r="T19" s="49">
        <v>10</v>
      </c>
      <c r="U19" s="49">
        <v>1.6</v>
      </c>
      <c r="V19" s="49">
        <v>8.6</v>
      </c>
      <c r="W19" s="49">
        <v>110</v>
      </c>
      <c r="X19" s="49">
        <v>8.7999999999999995E-2</v>
      </c>
      <c r="Y19" s="49">
        <v>3.5</v>
      </c>
      <c r="Z19" s="346">
        <v>7</v>
      </c>
      <c r="AA19" s="49">
        <v>48</v>
      </c>
      <c r="AB19" s="49">
        <v>2.5</v>
      </c>
      <c r="AC19" s="49">
        <v>2.6</v>
      </c>
      <c r="AD19" s="49">
        <v>0.48</v>
      </c>
      <c r="AE19" s="49">
        <v>0.65</v>
      </c>
      <c r="AF19" s="49">
        <v>2.1</v>
      </c>
      <c r="AG19" s="49">
        <v>7.1999999999999995E-2</v>
      </c>
      <c r="AH19" s="49">
        <v>6.6</v>
      </c>
      <c r="AI19" s="49">
        <v>0.14000000000000001</v>
      </c>
      <c r="AJ19" s="49">
        <v>0.26</v>
      </c>
      <c r="AK19" s="49" t="s">
        <v>552</v>
      </c>
      <c r="AL19" s="47" t="s">
        <v>256</v>
      </c>
      <c r="AM19" s="47">
        <v>0.28999999999999998</v>
      </c>
      <c r="AN19" s="47" t="s">
        <v>253</v>
      </c>
      <c r="AO19" s="47" t="s">
        <v>293</v>
      </c>
      <c r="AP19" s="49">
        <v>11</v>
      </c>
      <c r="AQ19" s="37"/>
      <c r="AR19" s="48">
        <v>0.26</v>
      </c>
      <c r="AS19" s="438">
        <v>2</v>
      </c>
      <c r="AT19" s="50">
        <v>0.52</v>
      </c>
      <c r="AU19" s="50">
        <v>0.63</v>
      </c>
      <c r="AV19" s="50">
        <v>1.1000000000000001</v>
      </c>
      <c r="AW19" s="49">
        <v>2.2000000000000002</v>
      </c>
      <c r="AX19" s="47">
        <v>0.36</v>
      </c>
      <c r="AY19" s="47">
        <v>0.02</v>
      </c>
      <c r="AZ19" s="47">
        <v>4.5</v>
      </c>
      <c r="BA19" s="47">
        <v>1.5</v>
      </c>
      <c r="BB19" s="37"/>
      <c r="BC19" s="619">
        <f t="shared" si="3"/>
        <v>1.0022222222222221</v>
      </c>
      <c r="BD19" s="610">
        <f t="shared" si="4"/>
        <v>0.98666666666666669</v>
      </c>
      <c r="BF19" s="610" t="e">
        <f t="shared" si="5"/>
        <v>#VALUE!</v>
      </c>
      <c r="BG19" s="610">
        <f t="shared" si="6"/>
        <v>1.2903225806451613E-3</v>
      </c>
      <c r="BH19" s="610">
        <f t="shared" si="7"/>
        <v>0.27083333333333331</v>
      </c>
      <c r="BI19" s="610">
        <f t="shared" si="8"/>
        <v>5.2173913043478256E-3</v>
      </c>
      <c r="BJ19" s="610">
        <f t="shared" si="9"/>
        <v>0.28333333333333333</v>
      </c>
      <c r="BK19" s="610">
        <f t="shared" si="10"/>
        <v>4.871794871794872E-3</v>
      </c>
      <c r="BL19" s="610">
        <f t="shared" si="11"/>
        <v>1.6460905349794238E-3</v>
      </c>
      <c r="BM19" s="610">
        <f t="shared" si="12"/>
        <v>2E-3</v>
      </c>
      <c r="BN19" s="563" t="e">
        <f t="shared" si="13"/>
        <v>#VALUE!</v>
      </c>
      <c r="BO19" s="563">
        <f t="shared" si="14"/>
        <v>297.06861004445551</v>
      </c>
      <c r="BP19" s="611" t="e">
        <f t="shared" si="15"/>
        <v>#VALUE!</v>
      </c>
      <c r="BR19" s="564">
        <f t="shared" si="16"/>
        <v>17.875</v>
      </c>
      <c r="BS19" s="564">
        <f t="shared" si="17"/>
        <v>0.1032</v>
      </c>
      <c r="BT19" s="564">
        <f t="shared" si="18"/>
        <v>0.3</v>
      </c>
      <c r="BU19" s="564">
        <f t="shared" si="19"/>
        <v>7.2</v>
      </c>
      <c r="BV19" s="564">
        <f t="shared" si="20"/>
        <v>1.5</v>
      </c>
      <c r="BW19" s="564">
        <f t="shared" si="21"/>
        <v>0.77195999999999998</v>
      </c>
      <c r="BX19" s="564">
        <f t="shared" si="0"/>
        <v>8.539999999999999E-2</v>
      </c>
      <c r="BY19" s="564">
        <f t="shared" si="22"/>
        <v>0.15179999999999999</v>
      </c>
      <c r="BZ19" s="564">
        <f t="shared" si="23"/>
        <v>1.2525E-2</v>
      </c>
      <c r="CA19" s="564">
        <f t="shared" si="24"/>
        <v>27.999885000000003</v>
      </c>
      <c r="CB19" s="611">
        <f t="shared" si="25"/>
        <v>0.92104884868421066</v>
      </c>
      <c r="CC19" s="610"/>
      <c r="CD19" s="610">
        <f t="shared" si="26"/>
        <v>0.75</v>
      </c>
      <c r="CE19" s="610">
        <f t="shared" si="27"/>
        <v>0</v>
      </c>
      <c r="CF19" s="610">
        <f t="shared" si="33"/>
        <v>1.1000000000000001</v>
      </c>
      <c r="CG19" s="610">
        <f t="shared" si="34"/>
        <v>0.38</v>
      </c>
    </row>
    <row r="20" spans="2:85" ht="20.149999999999999" customHeight="1" x14ac:dyDescent="0.2">
      <c r="B20" s="21" t="s">
        <v>61</v>
      </c>
      <c r="C20" s="52" t="s">
        <v>210</v>
      </c>
      <c r="D20" s="53">
        <v>21.6</v>
      </c>
      <c r="E20" s="54" t="s">
        <v>531</v>
      </c>
      <c r="F20" s="55">
        <v>7.0000000000000007E-2</v>
      </c>
      <c r="G20" s="358">
        <v>9</v>
      </c>
      <c r="H20" s="56">
        <v>0.09</v>
      </c>
      <c r="I20" s="55">
        <v>3.5</v>
      </c>
      <c r="J20" s="55">
        <v>0.12</v>
      </c>
      <c r="K20" s="55">
        <v>0.01</v>
      </c>
      <c r="L20" s="52">
        <v>0.03</v>
      </c>
      <c r="M20" s="54">
        <v>110</v>
      </c>
      <c r="N20" s="55">
        <v>61</v>
      </c>
      <c r="O20" s="55">
        <v>130</v>
      </c>
      <c r="P20" s="55">
        <v>110</v>
      </c>
      <c r="Q20" s="55">
        <v>56</v>
      </c>
      <c r="R20" s="55" t="s">
        <v>259</v>
      </c>
      <c r="S20" s="55">
        <v>6.7</v>
      </c>
      <c r="T20" s="55">
        <v>6.4</v>
      </c>
      <c r="U20" s="55">
        <v>1.5</v>
      </c>
      <c r="V20" s="55">
        <v>5.2</v>
      </c>
      <c r="W20" s="55">
        <v>86</v>
      </c>
      <c r="X20" s="55">
        <v>6.2E-2</v>
      </c>
      <c r="Y20" s="55">
        <v>2.5</v>
      </c>
      <c r="Z20" s="55">
        <v>4.7</v>
      </c>
      <c r="AA20" s="55">
        <v>32</v>
      </c>
      <c r="AB20" s="55">
        <v>1.4</v>
      </c>
      <c r="AC20" s="55">
        <v>1.4</v>
      </c>
      <c r="AD20" s="55">
        <v>0.28000000000000003</v>
      </c>
      <c r="AE20" s="55">
        <v>0.39</v>
      </c>
      <c r="AF20" s="55">
        <v>1.5</v>
      </c>
      <c r="AG20" s="55">
        <v>0.04</v>
      </c>
      <c r="AH20" s="55">
        <v>4.3</v>
      </c>
      <c r="AI20" s="55">
        <v>0.19</v>
      </c>
      <c r="AJ20" s="55">
        <v>0.36</v>
      </c>
      <c r="AK20" s="55" t="s">
        <v>552</v>
      </c>
      <c r="AL20" s="53" t="s">
        <v>256</v>
      </c>
      <c r="AM20" s="53">
        <v>0.14000000000000001</v>
      </c>
      <c r="AN20" s="53" t="s">
        <v>253</v>
      </c>
      <c r="AO20" s="53" t="s">
        <v>293</v>
      </c>
      <c r="AP20" s="55">
        <v>6.6</v>
      </c>
      <c r="AQ20" s="52"/>
      <c r="AR20" s="54">
        <v>0.13</v>
      </c>
      <c r="AS20" s="56">
        <v>1.6</v>
      </c>
      <c r="AT20" s="56">
        <v>0.37</v>
      </c>
      <c r="AU20" s="56">
        <v>0.33</v>
      </c>
      <c r="AV20" s="56">
        <v>0.97</v>
      </c>
      <c r="AW20" s="55">
        <v>1.5</v>
      </c>
      <c r="AX20" s="53">
        <v>0.45</v>
      </c>
      <c r="AY20" s="53">
        <v>0.01</v>
      </c>
      <c r="AZ20" s="53">
        <v>3.4</v>
      </c>
      <c r="BA20" s="53">
        <v>0.99</v>
      </c>
      <c r="BB20" s="52"/>
      <c r="BC20" s="619">
        <f t="shared" si="3"/>
        <v>1.0000000000000002</v>
      </c>
      <c r="BD20" s="610">
        <f t="shared" si="4"/>
        <v>1</v>
      </c>
      <c r="BF20" s="610" t="e">
        <f t="shared" si="5"/>
        <v>#VALUE!</v>
      </c>
      <c r="BG20" s="610">
        <f t="shared" si="6"/>
        <v>1.1290322580645162E-3</v>
      </c>
      <c r="BH20" s="610">
        <f t="shared" si="7"/>
        <v>0.1875</v>
      </c>
      <c r="BI20" s="610">
        <f t="shared" si="8"/>
        <v>3.913043478260869E-3</v>
      </c>
      <c r="BJ20" s="610">
        <f t="shared" si="9"/>
        <v>0.19444444444444445</v>
      </c>
      <c r="BK20" s="610">
        <f t="shared" si="10"/>
        <v>3.0769230769230769E-3</v>
      </c>
      <c r="BL20" s="610">
        <f t="shared" si="11"/>
        <v>8.2304526748971192E-4</v>
      </c>
      <c r="BM20" s="610">
        <f t="shared" si="12"/>
        <v>1.5E-3</v>
      </c>
      <c r="BN20" s="563" t="e">
        <f t="shared" si="13"/>
        <v>#VALUE!</v>
      </c>
      <c r="BO20" s="563">
        <f t="shared" si="14"/>
        <v>203.75745626711813</v>
      </c>
      <c r="BP20" s="611" t="e">
        <f t="shared" si="15"/>
        <v>#VALUE!</v>
      </c>
      <c r="BR20" s="564">
        <f t="shared" si="16"/>
        <v>12.375</v>
      </c>
      <c r="BS20" s="564">
        <f t="shared" si="17"/>
        <v>9.0300000000000005E-2</v>
      </c>
      <c r="BT20" s="564">
        <f t="shared" si="18"/>
        <v>0.22499999999999998</v>
      </c>
      <c r="BU20" s="564">
        <f t="shared" si="19"/>
        <v>5.44</v>
      </c>
      <c r="BV20" s="564">
        <f t="shared" si="20"/>
        <v>0.99</v>
      </c>
      <c r="BW20" s="564">
        <f t="shared" si="21"/>
        <v>0.56059000000000003</v>
      </c>
      <c r="BX20" s="564">
        <f t="shared" si="0"/>
        <v>7.8399999999999997E-2</v>
      </c>
      <c r="BY20" s="564">
        <f t="shared" si="22"/>
        <v>0.11867999999999998</v>
      </c>
      <c r="BZ20" s="564">
        <f t="shared" si="23"/>
        <v>1.1188999999999999E-2</v>
      </c>
      <c r="CA20" s="564">
        <f t="shared" si="24"/>
        <v>19.889158999999999</v>
      </c>
      <c r="CB20" s="611">
        <f t="shared" si="25"/>
        <v>0.92079439814814801</v>
      </c>
      <c r="CD20" s="610">
        <f t="shared" si="26"/>
        <v>0.7744874715261959</v>
      </c>
      <c r="CE20" s="610">
        <f t="shared" si="27"/>
        <v>0</v>
      </c>
      <c r="CF20" s="610">
        <f t="shared" si="33"/>
        <v>0.53</v>
      </c>
      <c r="CG20" s="610">
        <f t="shared" si="34"/>
        <v>0.46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25.785714285714285</v>
      </c>
      <c r="E21" s="541">
        <f t="shared" ref="E21:BB21" si="35">AVERAGE(E12:E18)</f>
        <v>1.1428571428571427E-2</v>
      </c>
      <c r="F21" s="541">
        <f t="shared" si="35"/>
        <v>0.1842857142857143</v>
      </c>
      <c r="G21" s="540">
        <f t="shared" si="35"/>
        <v>10.271428571428572</v>
      </c>
      <c r="H21" s="541">
        <f t="shared" si="35"/>
        <v>0.19</v>
      </c>
      <c r="I21" s="540">
        <f t="shared" si="35"/>
        <v>3.8999999999999995</v>
      </c>
      <c r="J21" s="541">
        <f t="shared" si="35"/>
        <v>0.18857142857142856</v>
      </c>
      <c r="K21" s="541">
        <f t="shared" si="35"/>
        <v>2.5714285714285714E-2</v>
      </c>
      <c r="L21" s="541">
        <f t="shared" si="35"/>
        <v>3.4285714285714287E-2</v>
      </c>
      <c r="M21" s="540">
        <f t="shared" si="35"/>
        <v>188.85714285714286</v>
      </c>
      <c r="N21" s="540">
        <f t="shared" si="35"/>
        <v>49.714285714285715</v>
      </c>
      <c r="O21" s="540">
        <f t="shared" si="35"/>
        <v>74.857142857142861</v>
      </c>
      <c r="P21" s="540">
        <f t="shared" si="35"/>
        <v>164</v>
      </c>
      <c r="Q21" s="540">
        <f t="shared" si="35"/>
        <v>45.857142857142854</v>
      </c>
      <c r="R21" s="540">
        <f t="shared" si="35"/>
        <v>0.01</v>
      </c>
      <c r="S21" s="540">
        <f t="shared" si="35"/>
        <v>5.4999999999999991</v>
      </c>
      <c r="T21" s="540">
        <f t="shared" si="35"/>
        <v>10.157142857142857</v>
      </c>
      <c r="U21" s="540">
        <f t="shared" si="35"/>
        <v>1.4285714285714286</v>
      </c>
      <c r="V21" s="540">
        <f t="shared" si="35"/>
        <v>6.3714285714285719</v>
      </c>
      <c r="W21" s="540">
        <f t="shared" si="35"/>
        <v>112.28571428571429</v>
      </c>
      <c r="X21" s="540">
        <f t="shared" si="35"/>
        <v>6.0285714285714283E-2</v>
      </c>
      <c r="Y21" s="540">
        <f t="shared" si="35"/>
        <v>3.628571428571429</v>
      </c>
      <c r="Z21" s="540">
        <f t="shared" si="35"/>
        <v>5.9428571428571431</v>
      </c>
      <c r="AA21" s="540">
        <f t="shared" si="35"/>
        <v>34.428571428571431</v>
      </c>
      <c r="AB21" s="540">
        <f t="shared" si="35"/>
        <v>1.1985714285714286</v>
      </c>
      <c r="AC21" s="541">
        <f t="shared" si="35"/>
        <v>1.4285714285714286</v>
      </c>
      <c r="AD21" s="541">
        <f t="shared" si="35"/>
        <v>0.27285714285714285</v>
      </c>
      <c r="AE21" s="541">
        <f t="shared" si="35"/>
        <v>0.65571428571428581</v>
      </c>
      <c r="AF21" s="541">
        <f t="shared" si="35"/>
        <v>1.9142857142857144</v>
      </c>
      <c r="AG21" s="541">
        <f t="shared" si="35"/>
        <v>4.128571428571428E-2</v>
      </c>
      <c r="AH21" s="541">
        <f t="shared" si="35"/>
        <v>7.8999999999999995</v>
      </c>
      <c r="AI21" s="541">
        <f t="shared" si="35"/>
        <v>0.19857142857142854</v>
      </c>
      <c r="AJ21" s="541">
        <f t="shared" si="35"/>
        <v>0.29142857142857143</v>
      </c>
      <c r="AK21" s="541">
        <f t="shared" si="35"/>
        <v>1.2999999999999999E-2</v>
      </c>
      <c r="AL21" s="541">
        <f t="shared" si="35"/>
        <v>2.4999999999999998E-2</v>
      </c>
      <c r="AM21" s="541">
        <f t="shared" si="35"/>
        <v>0.28714285714285709</v>
      </c>
      <c r="AN21" s="541">
        <f t="shared" si="35"/>
        <v>1.4999999999999999E-2</v>
      </c>
      <c r="AO21" s="541">
        <f t="shared" si="35"/>
        <v>1.2499999999999999E-2</v>
      </c>
      <c r="AP21" s="541">
        <f t="shared" si="35"/>
        <v>6.9142857142857137</v>
      </c>
      <c r="AQ21" s="541" t="e">
        <f t="shared" si="35"/>
        <v>#DIV/0!</v>
      </c>
      <c r="AR21" s="540">
        <f t="shared" si="35"/>
        <v>0.19999999999999996</v>
      </c>
      <c r="AS21" s="540">
        <f t="shared" si="35"/>
        <v>1.8142857142857145</v>
      </c>
      <c r="AT21" s="540">
        <f t="shared" si="35"/>
        <v>0.62714285714285711</v>
      </c>
      <c r="AU21" s="540">
        <f t="shared" si="35"/>
        <v>0.54142857142857148</v>
      </c>
      <c r="AV21" s="540">
        <f t="shared" si="35"/>
        <v>1.1614285714285715</v>
      </c>
      <c r="AW21" s="540">
        <f t="shared" si="35"/>
        <v>2.0428571428571431</v>
      </c>
      <c r="AX21" s="540">
        <f t="shared" si="35"/>
        <v>0.34428571428571425</v>
      </c>
      <c r="AY21" s="540">
        <f t="shared" si="35"/>
        <v>8.5714285714285719E-3</v>
      </c>
      <c r="AZ21" s="540">
        <f t="shared" si="35"/>
        <v>4.3428571428571425</v>
      </c>
      <c r="BA21" s="540">
        <f t="shared" si="35"/>
        <v>1.2457142857142858</v>
      </c>
      <c r="BB21" s="540" t="e">
        <f t="shared" si="35"/>
        <v>#DIV/0!</v>
      </c>
      <c r="CD21" s="691">
        <f>AVERAGE(CD12:CD18)</f>
        <v>0.77261048709026336</v>
      </c>
      <c r="CE21" s="691">
        <f>AVERAGE(CE12:CE18)</f>
        <v>0</v>
      </c>
      <c r="CF21" s="691">
        <f>AVERAGE(CF12:CF18)</f>
        <v>0.88142857142857134</v>
      </c>
      <c r="CG21" s="691">
        <f>AVERAGE(CG12:CG18)</f>
        <v>0.35285714285714287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22.292857142857144</v>
      </c>
      <c r="E22" s="545">
        <f t="shared" ref="E22:BB22" si="36">AVERAGE(E7:E20)</f>
        <v>1.3000000000000001E-2</v>
      </c>
      <c r="F22" s="545">
        <f t="shared" si="36"/>
        <v>0.14000000000000001</v>
      </c>
      <c r="G22" s="544">
        <f t="shared" si="36"/>
        <v>8.0642857142857132</v>
      </c>
      <c r="H22" s="545">
        <f t="shared" si="36"/>
        <v>0.16214285714285714</v>
      </c>
      <c r="I22" s="544">
        <f t="shared" si="36"/>
        <v>3.0550000000000002</v>
      </c>
      <c r="J22" s="545">
        <f t="shared" si="36"/>
        <v>0.18071428571428574</v>
      </c>
      <c r="K22" s="545">
        <f t="shared" si="36"/>
        <v>2.4615384615384619E-2</v>
      </c>
      <c r="L22" s="545">
        <f t="shared" si="36"/>
        <v>3.3571428571428572E-2</v>
      </c>
      <c r="M22" s="544">
        <f t="shared" si="36"/>
        <v>165.71428571428572</v>
      </c>
      <c r="N22" s="544">
        <f t="shared" si="36"/>
        <v>48.642857142857146</v>
      </c>
      <c r="O22" s="544">
        <f t="shared" si="36"/>
        <v>74.857142857142861</v>
      </c>
      <c r="P22" s="544">
        <f t="shared" si="36"/>
        <v>148.57142857142858</v>
      </c>
      <c r="Q22" s="544">
        <f t="shared" si="36"/>
        <v>43.214285714285715</v>
      </c>
      <c r="R22" s="544">
        <f t="shared" si="36"/>
        <v>0.01</v>
      </c>
      <c r="S22" s="544">
        <f t="shared" si="36"/>
        <v>5.5214285714285714</v>
      </c>
      <c r="T22" s="544">
        <f t="shared" si="36"/>
        <v>7.285000000000001</v>
      </c>
      <c r="U22" s="544">
        <f t="shared" si="36"/>
        <v>1.3678571428571427</v>
      </c>
      <c r="V22" s="544">
        <f t="shared" si="36"/>
        <v>5.9142857142857137</v>
      </c>
      <c r="W22" s="544">
        <f t="shared" si="36"/>
        <v>98</v>
      </c>
      <c r="X22" s="544">
        <f t="shared" si="36"/>
        <v>6.3181818181818186E-2</v>
      </c>
      <c r="Y22" s="544">
        <f t="shared" si="36"/>
        <v>2.7414285714285711</v>
      </c>
      <c r="Z22" s="544">
        <f t="shared" si="36"/>
        <v>5.6071428571428568</v>
      </c>
      <c r="AA22" s="544">
        <f t="shared" si="36"/>
        <v>29.578571428571429</v>
      </c>
      <c r="AB22" s="544">
        <f t="shared" si="36"/>
        <v>1.0171428571428571</v>
      </c>
      <c r="AC22" s="545">
        <f t="shared" si="36"/>
        <v>1.4935714285714283</v>
      </c>
      <c r="AD22" s="545">
        <f t="shared" si="36"/>
        <v>0.24714285714285714</v>
      </c>
      <c r="AE22" s="545">
        <f t="shared" si="36"/>
        <v>0.56571428571428561</v>
      </c>
      <c r="AF22" s="545">
        <f t="shared" si="36"/>
        <v>1.6235714285714287</v>
      </c>
      <c r="AG22" s="545">
        <f t="shared" si="36"/>
        <v>4.2363636363636367E-2</v>
      </c>
      <c r="AH22" s="545">
        <f t="shared" si="36"/>
        <v>7.0785714285714292</v>
      </c>
      <c r="AI22" s="545">
        <f t="shared" si="36"/>
        <v>0.18335714285714283</v>
      </c>
      <c r="AJ22" s="545">
        <f t="shared" si="36"/>
        <v>0.31571428571428578</v>
      </c>
      <c r="AK22" s="545">
        <f t="shared" si="36"/>
        <v>1.2999999999999999E-2</v>
      </c>
      <c r="AL22" s="545">
        <f t="shared" si="36"/>
        <v>2.4999999999999998E-2</v>
      </c>
      <c r="AM22" s="545">
        <f t="shared" si="36"/>
        <v>0.27307692307692305</v>
      </c>
      <c r="AN22" s="545">
        <f t="shared" si="36"/>
        <v>1.4999999999999999E-2</v>
      </c>
      <c r="AO22" s="545">
        <f t="shared" si="36"/>
        <v>1.2499999999999999E-2</v>
      </c>
      <c r="AP22" s="545">
        <f t="shared" si="36"/>
        <v>5.8021428571428562</v>
      </c>
      <c r="AQ22" s="545" t="e">
        <f t="shared" si="36"/>
        <v>#DIV/0!</v>
      </c>
      <c r="AR22" s="544">
        <f t="shared" si="36"/>
        <v>0.21857142857142856</v>
      </c>
      <c r="AS22" s="544">
        <f t="shared" si="36"/>
        <v>1.8450000000000002</v>
      </c>
      <c r="AT22" s="544">
        <f t="shared" si="36"/>
        <v>0.76071428571428579</v>
      </c>
      <c r="AU22" s="544">
        <f t="shared" si="36"/>
        <v>0.54357142857142859</v>
      </c>
      <c r="AV22" s="544">
        <f t="shared" si="36"/>
        <v>1.1264285714285713</v>
      </c>
      <c r="AW22" s="544">
        <f t="shared" si="36"/>
        <v>1.8949999999999998</v>
      </c>
      <c r="AX22" s="544">
        <f t="shared" si="36"/>
        <v>0.33571428571428574</v>
      </c>
      <c r="AY22" s="544">
        <f t="shared" si="36"/>
        <v>1.2142857142857141E-2</v>
      </c>
      <c r="AZ22" s="544">
        <f t="shared" si="36"/>
        <v>4.4928571428571429</v>
      </c>
      <c r="BA22" s="544">
        <f t="shared" si="36"/>
        <v>1.1314285714285715</v>
      </c>
      <c r="BB22" s="544" t="e">
        <f t="shared" si="36"/>
        <v>#DIV/0!</v>
      </c>
      <c r="CD22" s="691">
        <f>AVERAGE(CD7:CD20)</f>
        <v>0.79267174814957175</v>
      </c>
      <c r="CE22" s="691">
        <f>AVERAGE(CE7:CE20)</f>
        <v>0</v>
      </c>
      <c r="CF22" s="691">
        <f>AVERAGE(CF7:CF20)</f>
        <v>0.76857142857142857</v>
      </c>
      <c r="CG22" s="691">
        <f>AVERAGE(CG7:CG20)</f>
        <v>0.34785714285714286</v>
      </c>
    </row>
    <row r="23" spans="2:85" ht="20.149999999999999" customHeight="1" x14ac:dyDescent="0.2">
      <c r="B23" s="704" t="s">
        <v>94</v>
      </c>
      <c r="C23" s="705"/>
      <c r="D23" s="57"/>
      <c r="E23" s="30">
        <v>0.01</v>
      </c>
      <c r="F23" s="29">
        <v>0.01</v>
      </c>
      <c r="G23" s="29">
        <v>0.01</v>
      </c>
      <c r="H23" s="30">
        <v>0.01</v>
      </c>
      <c r="I23" s="29">
        <v>0.01</v>
      </c>
      <c r="J23" s="29">
        <v>0.01</v>
      </c>
      <c r="K23" s="29">
        <v>0.01</v>
      </c>
      <c r="L23" s="26">
        <v>0.01</v>
      </c>
      <c r="M23" s="30">
        <v>2.9</v>
      </c>
      <c r="N23" s="29">
        <v>2.2000000000000002</v>
      </c>
      <c r="O23" s="29" t="s">
        <v>553</v>
      </c>
      <c r="P23" s="29">
        <v>1.7</v>
      </c>
      <c r="Q23" s="29">
        <v>2.7</v>
      </c>
      <c r="R23" s="308">
        <v>0.02</v>
      </c>
      <c r="S23" s="29">
        <v>0.19</v>
      </c>
      <c r="T23" s="29">
        <v>2.7E-2</v>
      </c>
      <c r="U23" s="29">
        <v>0.17</v>
      </c>
      <c r="V23" s="29">
        <v>0.05</v>
      </c>
      <c r="W23" s="29">
        <v>1.2</v>
      </c>
      <c r="X23" s="29">
        <v>2.5999999999999999E-2</v>
      </c>
      <c r="Y23" s="29">
        <v>7.0000000000000007E-2</v>
      </c>
      <c r="Z23" s="29">
        <v>0.11</v>
      </c>
      <c r="AA23" s="29">
        <v>0.4</v>
      </c>
      <c r="AB23" s="29">
        <v>0.03</v>
      </c>
      <c r="AC23" s="29">
        <v>0.04</v>
      </c>
      <c r="AD23" s="29">
        <v>0.04</v>
      </c>
      <c r="AE23" s="29">
        <v>0.03</v>
      </c>
      <c r="AF23" s="308">
        <v>0.02</v>
      </c>
      <c r="AG23" s="29">
        <v>1.7999999999999999E-2</v>
      </c>
      <c r="AH23" s="29">
        <v>0.19</v>
      </c>
      <c r="AI23" s="29">
        <v>1.7999999999999999E-2</v>
      </c>
      <c r="AJ23" s="29">
        <v>1.7999999999999999E-2</v>
      </c>
      <c r="AK23" s="29">
        <v>2.5999999999999999E-2</v>
      </c>
      <c r="AL23" s="27">
        <v>0.05</v>
      </c>
      <c r="AM23" s="58">
        <v>0.04</v>
      </c>
      <c r="AN23" s="58">
        <v>0.03</v>
      </c>
      <c r="AO23" s="58">
        <v>2.5000000000000001E-2</v>
      </c>
      <c r="AP23" s="59">
        <v>0.03</v>
      </c>
      <c r="AQ23" s="60"/>
      <c r="AR23" s="28">
        <v>0</v>
      </c>
      <c r="AS23" s="30">
        <v>0.04</v>
      </c>
      <c r="AT23" s="30">
        <v>0.06</v>
      </c>
      <c r="AU23" s="30">
        <v>0</v>
      </c>
      <c r="AV23" s="30">
        <v>0</v>
      </c>
      <c r="AW23" s="29">
        <v>0</v>
      </c>
      <c r="AX23" s="27">
        <v>0</v>
      </c>
      <c r="AY23" s="27">
        <v>0</v>
      </c>
      <c r="AZ23" s="27"/>
      <c r="BA23" s="27"/>
      <c r="BB23" s="26"/>
    </row>
    <row r="24" spans="2:85" ht="20.149999999999999" customHeight="1" x14ac:dyDescent="0.2">
      <c r="B24" s="692" t="s">
        <v>95</v>
      </c>
      <c r="C24" s="693"/>
      <c r="D24" s="61"/>
      <c r="E24" s="56">
        <v>0.02</v>
      </c>
      <c r="F24" s="55">
        <v>0.02</v>
      </c>
      <c r="G24" s="55">
        <v>0.01</v>
      </c>
      <c r="H24" s="56">
        <v>0.01</v>
      </c>
      <c r="I24" s="55">
        <v>0.04</v>
      </c>
      <c r="J24" s="55">
        <v>0.01</v>
      </c>
      <c r="K24" s="55">
        <v>0.01</v>
      </c>
      <c r="L24" s="52">
        <v>0.02</v>
      </c>
      <c r="M24" s="56">
        <v>9.8000000000000007</v>
      </c>
      <c r="N24" s="55">
        <v>7.4</v>
      </c>
      <c r="O24" s="55" t="s">
        <v>553</v>
      </c>
      <c r="P24" s="55">
        <v>5.8</v>
      </c>
      <c r="Q24" s="358">
        <v>9</v>
      </c>
      <c r="R24" s="55">
        <v>6.7000000000000004E-2</v>
      </c>
      <c r="S24" s="55">
        <v>0.64</v>
      </c>
      <c r="T24" s="55">
        <v>8.8999999999999996E-2</v>
      </c>
      <c r="U24" s="55">
        <v>0.56000000000000005</v>
      </c>
      <c r="V24" s="55">
        <v>0.15</v>
      </c>
      <c r="W24" s="55">
        <v>4.0999999999999996</v>
      </c>
      <c r="X24" s="55">
        <v>8.5000000000000006E-2</v>
      </c>
      <c r="Y24" s="55">
        <v>0.23</v>
      </c>
      <c r="Z24" s="55">
        <v>0.36</v>
      </c>
      <c r="AA24" s="55">
        <v>1.4</v>
      </c>
      <c r="AB24" s="55">
        <v>0.1</v>
      </c>
      <c r="AC24" s="55">
        <v>0.14000000000000001</v>
      </c>
      <c r="AD24" s="55">
        <v>0.14000000000000001</v>
      </c>
      <c r="AE24" s="55">
        <v>0.12</v>
      </c>
      <c r="AF24" s="55">
        <v>6.5000000000000002E-2</v>
      </c>
      <c r="AG24" s="55">
        <v>5.8999999999999997E-2</v>
      </c>
      <c r="AH24" s="55">
        <v>0.64</v>
      </c>
      <c r="AI24" s="357">
        <v>0.06</v>
      </c>
      <c r="AJ24" s="55">
        <v>5.8999999999999997E-2</v>
      </c>
      <c r="AK24" s="55">
        <v>8.6999999999999994E-2</v>
      </c>
      <c r="AL24" s="53">
        <v>0.15</v>
      </c>
      <c r="AM24" s="53">
        <v>0.14000000000000001</v>
      </c>
      <c r="AN24" s="439">
        <v>0.1</v>
      </c>
      <c r="AO24" s="53">
        <v>8.3000000000000004E-2</v>
      </c>
      <c r="AP24" s="440">
        <v>0.1</v>
      </c>
      <c r="AQ24" s="52"/>
      <c r="AR24" s="54">
        <v>0</v>
      </c>
      <c r="AS24" s="56">
        <v>0.11</v>
      </c>
      <c r="AT24" s="56">
        <v>0.17</v>
      </c>
      <c r="AU24" s="56">
        <v>0</v>
      </c>
      <c r="AV24" s="56">
        <v>0</v>
      </c>
      <c r="AW24" s="55">
        <v>0</v>
      </c>
      <c r="AX24" s="53">
        <v>0</v>
      </c>
      <c r="AY24" s="53">
        <v>0</v>
      </c>
      <c r="AZ24" s="53"/>
      <c r="BA24" s="53"/>
      <c r="BB24" s="5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 t="s">
        <v>554</v>
      </c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31" priority="6" stopIfTrue="1" operator="notBetween">
      <formula>0.8</formula>
      <formula>1.2</formula>
    </cfRule>
  </conditionalFormatting>
  <conditionalFormatting sqref="BC7:BD20">
    <cfRule type="cellIs" dxfId="30" priority="5" stopIfTrue="1" operator="notBetween">
      <formula>0.9</formula>
      <formula>1.1</formula>
    </cfRule>
  </conditionalFormatting>
  <conditionalFormatting sqref="BP7:BP20">
    <cfRule type="cellIs" dxfId="29" priority="3" stopIfTrue="1" operator="notBetween">
      <formula>0.8</formula>
      <formula>1.2</formula>
    </cfRule>
  </conditionalFormatting>
  <conditionalFormatting sqref="CF7:CF20">
    <cfRule type="cellIs" dxfId="28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430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558">
        <v>4.4000000000000004</v>
      </c>
      <c r="E7" s="28" t="s">
        <v>298</v>
      </c>
      <c r="F7" s="29">
        <v>6.6000000000000003E-2</v>
      </c>
      <c r="G7" s="29">
        <v>0.69</v>
      </c>
      <c r="H7" s="30">
        <v>1.0999999999999999E-2</v>
      </c>
      <c r="I7" s="29">
        <v>0.14000000000000001</v>
      </c>
      <c r="J7" s="29">
        <v>0.21</v>
      </c>
      <c r="K7" s="29" t="s">
        <v>287</v>
      </c>
      <c r="L7" s="26" t="s">
        <v>74</v>
      </c>
      <c r="M7" s="28">
        <v>55</v>
      </c>
      <c r="N7" s="29">
        <v>12</v>
      </c>
      <c r="O7" s="29">
        <v>19</v>
      </c>
      <c r="P7" s="29">
        <v>25</v>
      </c>
      <c r="Q7" s="29">
        <v>30</v>
      </c>
      <c r="R7" s="29" t="s">
        <v>328</v>
      </c>
      <c r="S7" s="29">
        <v>0.7</v>
      </c>
      <c r="T7" s="589">
        <v>0.42</v>
      </c>
      <c r="U7" s="29" t="s">
        <v>330</v>
      </c>
      <c r="V7" s="589">
        <v>0.71</v>
      </c>
      <c r="W7" s="589">
        <v>20</v>
      </c>
      <c r="X7" s="589">
        <v>7.3000000000000001E-3</v>
      </c>
      <c r="Y7" s="589">
        <v>0.17</v>
      </c>
      <c r="Z7" s="589">
        <v>1.4</v>
      </c>
      <c r="AA7" s="589">
        <v>9.6</v>
      </c>
      <c r="AB7" s="29" t="s">
        <v>222</v>
      </c>
      <c r="AC7" s="29" t="s">
        <v>230</v>
      </c>
      <c r="AD7" s="29" t="s">
        <v>333</v>
      </c>
      <c r="AE7" s="29" t="s">
        <v>66</v>
      </c>
      <c r="AF7" s="589">
        <v>0.2</v>
      </c>
      <c r="AG7" s="29" t="s">
        <v>335</v>
      </c>
      <c r="AH7" s="589">
        <v>1</v>
      </c>
      <c r="AI7" s="29" t="s">
        <v>336</v>
      </c>
      <c r="AJ7" s="589">
        <v>1.9E-2</v>
      </c>
      <c r="AK7" s="29" t="s">
        <v>298</v>
      </c>
      <c r="AL7" s="27" t="s">
        <v>337</v>
      </c>
      <c r="AM7" s="27" t="s">
        <v>298</v>
      </c>
      <c r="AN7" s="27" t="s">
        <v>338</v>
      </c>
      <c r="AO7" s="27" t="s">
        <v>339</v>
      </c>
      <c r="AP7" s="589">
        <v>0.35</v>
      </c>
      <c r="AQ7" s="26"/>
      <c r="AR7" s="28" t="s">
        <v>431</v>
      </c>
      <c r="AS7" s="590">
        <v>0.54</v>
      </c>
      <c r="AT7" s="590">
        <v>0.48</v>
      </c>
      <c r="AU7" s="590">
        <v>0.28000000000000003</v>
      </c>
      <c r="AV7" s="590">
        <v>0.22</v>
      </c>
      <c r="AW7" s="589">
        <v>0.19</v>
      </c>
      <c r="AX7" s="558">
        <v>0.28000000000000003</v>
      </c>
      <c r="AY7" s="27" t="s">
        <v>65</v>
      </c>
      <c r="AZ7" s="558">
        <v>1.5</v>
      </c>
      <c r="BA7" s="558">
        <v>0.25</v>
      </c>
      <c r="BB7" s="26">
        <v>1.2</v>
      </c>
      <c r="BC7" s="619">
        <f>SUM(AR7:AV7)/AZ7</f>
        <v>1.0133333333333334</v>
      </c>
      <c r="BD7" s="610">
        <f>(SUM(AW7:AY7)-AV7)/BA7</f>
        <v>1</v>
      </c>
      <c r="BF7" s="610" t="e">
        <f>E7/35.5</f>
        <v>#VALUE!</v>
      </c>
      <c r="BG7" s="610">
        <f>F7/62</f>
        <v>1.0645161290322581E-3</v>
      </c>
      <c r="BH7" s="610">
        <f>G7/(96/2)</f>
        <v>1.4374999999999999E-2</v>
      </c>
      <c r="BI7" s="610">
        <f>H7/23</f>
        <v>4.7826086956521735E-4</v>
      </c>
      <c r="BJ7" s="610">
        <f>I7/18</f>
        <v>7.7777777777777784E-3</v>
      </c>
      <c r="BK7" s="610">
        <f>J7/39</f>
        <v>5.3846153846153844E-3</v>
      </c>
      <c r="BL7" s="610" t="e">
        <f>K7/(24.3/2)</f>
        <v>#VALUE!</v>
      </c>
      <c r="BM7" s="610" t="e">
        <f>L7/(40/2)</f>
        <v>#VALUE!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0.94874999999999998</v>
      </c>
      <c r="BS7" s="564">
        <f>1.29*F7</f>
        <v>8.5140000000000007E-2</v>
      </c>
      <c r="BT7" s="564">
        <f>2.5*H7</f>
        <v>2.7499999999999997E-2</v>
      </c>
      <c r="BU7" s="564">
        <f>1.6*AZ7</f>
        <v>2.4000000000000004</v>
      </c>
      <c r="BV7" s="564">
        <f>BA7</f>
        <v>0.25</v>
      </c>
      <c r="BW7" s="564">
        <f>9.19/1000*N7</f>
        <v>0.11028</v>
      </c>
      <c r="BX7" s="564">
        <f t="shared" ref="BX7:BX20" si="0">Q7/1000*1.4</f>
        <v>4.1999999999999996E-2</v>
      </c>
      <c r="BY7" s="564">
        <f>W7/1000*1.38</f>
        <v>2.76E-2</v>
      </c>
      <c r="BZ7" s="564">
        <f>S7/1000*1.67</f>
        <v>1.1689999999999999E-3</v>
      </c>
      <c r="CA7" s="564">
        <f>SUM(BR7:BZ7)</f>
        <v>3.8924390000000004</v>
      </c>
      <c r="CB7" s="611">
        <f>CA7/D7</f>
        <v>0.88464522727272732</v>
      </c>
      <c r="CD7" s="610">
        <f>AZ7/(AZ7+BA7)</f>
        <v>0.8571428571428571</v>
      </c>
      <c r="CE7" s="610">
        <f>BB7/AZ7</f>
        <v>0.79999999999999993</v>
      </c>
      <c r="CF7" s="610">
        <f t="shared" ref="CF7:CF12" si="1">IF(AW7-AV7&gt;0,AW7-AV7,0)</f>
        <v>0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559">
        <v>5.8</v>
      </c>
      <c r="E8" s="34" t="s">
        <v>298</v>
      </c>
      <c r="F8" s="35">
        <v>4.2000000000000003E-2</v>
      </c>
      <c r="G8" s="35">
        <v>0.79</v>
      </c>
      <c r="H8" s="36" t="s">
        <v>324</v>
      </c>
      <c r="I8" s="35">
        <v>0.22</v>
      </c>
      <c r="J8" s="35">
        <v>0.17</v>
      </c>
      <c r="K8" s="35">
        <v>8.4000000000000005E-2</v>
      </c>
      <c r="L8" s="32" t="s">
        <v>74</v>
      </c>
      <c r="M8" s="34">
        <v>36</v>
      </c>
      <c r="N8" s="35" t="s">
        <v>378</v>
      </c>
      <c r="O8" s="35">
        <v>21</v>
      </c>
      <c r="P8" s="35">
        <v>52</v>
      </c>
      <c r="Q8" s="35" t="s">
        <v>433</v>
      </c>
      <c r="R8" s="35" t="s">
        <v>328</v>
      </c>
      <c r="S8" s="35" t="s">
        <v>434</v>
      </c>
      <c r="T8" s="591">
        <v>0.72</v>
      </c>
      <c r="U8" s="35" t="s">
        <v>330</v>
      </c>
      <c r="V8" s="591">
        <v>1.2</v>
      </c>
      <c r="W8" s="591">
        <v>11</v>
      </c>
      <c r="X8" s="591">
        <v>7.1000000000000004E-3</v>
      </c>
      <c r="Y8" s="591">
        <v>0.25</v>
      </c>
      <c r="Z8" s="591">
        <v>2</v>
      </c>
      <c r="AA8" s="591">
        <v>9.5</v>
      </c>
      <c r="AB8" s="591">
        <v>6.7000000000000004E-2</v>
      </c>
      <c r="AC8" s="35" t="s">
        <v>230</v>
      </c>
      <c r="AD8" s="35" t="s">
        <v>333</v>
      </c>
      <c r="AE8" s="35" t="s">
        <v>66</v>
      </c>
      <c r="AF8" s="591">
        <v>0.51</v>
      </c>
      <c r="AG8" s="35" t="s">
        <v>335</v>
      </c>
      <c r="AH8" s="591">
        <v>2.2999999999999998</v>
      </c>
      <c r="AI8" s="591">
        <v>1.4999999999999999E-2</v>
      </c>
      <c r="AJ8" s="591">
        <v>2.5000000000000001E-2</v>
      </c>
      <c r="AK8" s="35" t="s">
        <v>298</v>
      </c>
      <c r="AL8" s="33" t="s">
        <v>337</v>
      </c>
      <c r="AM8" s="33">
        <v>0.02</v>
      </c>
      <c r="AN8" s="33" t="s">
        <v>338</v>
      </c>
      <c r="AO8" s="33" t="s">
        <v>339</v>
      </c>
      <c r="AP8" s="591">
        <v>0.81</v>
      </c>
      <c r="AQ8" s="32"/>
      <c r="AR8" s="34" t="s">
        <v>431</v>
      </c>
      <c r="AS8" s="592">
        <v>0.67</v>
      </c>
      <c r="AT8" s="592">
        <v>0.75</v>
      </c>
      <c r="AU8" s="592">
        <v>0.56000000000000005</v>
      </c>
      <c r="AV8" s="592">
        <v>0.54</v>
      </c>
      <c r="AW8" s="591">
        <v>0.52</v>
      </c>
      <c r="AX8" s="559">
        <v>0.59</v>
      </c>
      <c r="AY8" s="559">
        <v>3.7999999999999999E-2</v>
      </c>
      <c r="AZ8" s="559">
        <v>2.5</v>
      </c>
      <c r="BA8" s="559">
        <v>0.61</v>
      </c>
      <c r="BB8" s="32">
        <v>1.9</v>
      </c>
      <c r="BC8" s="619">
        <f t="shared" ref="BC8:BC20" si="3">SUM(AR8:AV8)/AZ8</f>
        <v>1.008</v>
      </c>
      <c r="BD8" s="610">
        <f t="shared" ref="BD8:BD20" si="4">(SUM(AW8:AY8)-AV8)/BA8</f>
        <v>0.99672131147540965</v>
      </c>
      <c r="BF8" s="610" t="e">
        <f t="shared" ref="BF8:BF20" si="5">E8/35.5</f>
        <v>#VALUE!</v>
      </c>
      <c r="BG8" s="610">
        <f t="shared" ref="BG8:BG20" si="6">F8/62</f>
        <v>6.774193548387097E-4</v>
      </c>
      <c r="BH8" s="610">
        <f t="shared" ref="BH8:BH20" si="7">G8/(96/2)</f>
        <v>1.6458333333333335E-2</v>
      </c>
      <c r="BI8" s="610" t="e">
        <f t="shared" ref="BI8:BI20" si="8">H8/23</f>
        <v>#VALUE!</v>
      </c>
      <c r="BJ8" s="610">
        <f t="shared" ref="BJ8:BJ20" si="9">I8/18</f>
        <v>1.2222222222222223E-2</v>
      </c>
      <c r="BK8" s="610">
        <f t="shared" ref="BK8:BK20" si="10">J8/39</f>
        <v>4.3589743589743596E-3</v>
      </c>
      <c r="BL8" s="610">
        <f t="shared" ref="BL8:BL20" si="11">K8/(24.3/2)</f>
        <v>6.9135802469135806E-3</v>
      </c>
      <c r="BM8" s="610" t="e">
        <f t="shared" ref="BM8:BM20" si="12">L8/(40/2)</f>
        <v>#VALUE!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1.0862500000000002</v>
      </c>
      <c r="BS8" s="564">
        <f t="shared" ref="BS8:BS20" si="17">1.29*F8</f>
        <v>5.4180000000000006E-2</v>
      </c>
      <c r="BT8" s="564" t="e">
        <f t="shared" ref="BT8:BT20" si="18">2.5*H8</f>
        <v>#VALUE!</v>
      </c>
      <c r="BU8" s="564">
        <f t="shared" ref="BU8:BU20" si="19">1.6*AZ8</f>
        <v>4</v>
      </c>
      <c r="BV8" s="564">
        <f t="shared" ref="BV8:BV20" si="20">BA8</f>
        <v>0.61</v>
      </c>
      <c r="BW8" s="564" t="e">
        <f t="shared" ref="BW8:BW20" si="21">9.19/1000*N8</f>
        <v>#VALUE!</v>
      </c>
      <c r="BX8" s="564" t="e">
        <f t="shared" si="0"/>
        <v>#VALUE!</v>
      </c>
      <c r="BY8" s="564">
        <f t="shared" ref="BY8:BY20" si="22">W8/1000*1.38</f>
        <v>1.5179999999999997E-2</v>
      </c>
      <c r="BZ8" s="564" t="e">
        <f t="shared" ref="BZ8:BZ20" si="23">S8/1000*1.67</f>
        <v>#VALUE!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0.80385852090032162</v>
      </c>
      <c r="CE8" s="610">
        <f t="shared" ref="CE8:CE20" si="27">BB8/AZ8</f>
        <v>0.76</v>
      </c>
      <c r="CF8" s="610">
        <f t="shared" si="1"/>
        <v>0</v>
      </c>
      <c r="CG8" s="610">
        <f t="shared" si="2"/>
        <v>0.60799999999999987</v>
      </c>
    </row>
    <row r="9" spans="2:85" ht="20.149999999999999" customHeight="1" x14ac:dyDescent="0.2">
      <c r="B9" s="31" t="s">
        <v>61</v>
      </c>
      <c r="C9" s="37" t="s">
        <v>200</v>
      </c>
      <c r="D9" s="559">
        <v>16.100000000000001</v>
      </c>
      <c r="E9" s="34" t="s">
        <v>298</v>
      </c>
      <c r="F9" s="35" t="s">
        <v>323</v>
      </c>
      <c r="G9" s="35">
        <v>4</v>
      </c>
      <c r="H9" s="36">
        <v>7.3999999999999996E-2</v>
      </c>
      <c r="I9" s="35">
        <v>1.4</v>
      </c>
      <c r="J9" s="35">
        <v>0.16</v>
      </c>
      <c r="K9" s="35">
        <v>8.6999999999999994E-2</v>
      </c>
      <c r="L9" s="32" t="s">
        <v>74</v>
      </c>
      <c r="M9" s="34">
        <v>140</v>
      </c>
      <c r="N9" s="35" t="s">
        <v>378</v>
      </c>
      <c r="O9" s="35">
        <v>14</v>
      </c>
      <c r="P9" s="35">
        <v>79</v>
      </c>
      <c r="Q9" s="35">
        <v>38</v>
      </c>
      <c r="R9" s="35" t="s">
        <v>328</v>
      </c>
      <c r="S9" s="591">
        <v>0.56999999999999995</v>
      </c>
      <c r="T9" s="591">
        <v>5.4</v>
      </c>
      <c r="U9" s="591">
        <v>1.5</v>
      </c>
      <c r="V9" s="591">
        <v>3.5</v>
      </c>
      <c r="W9" s="591">
        <v>33</v>
      </c>
      <c r="X9" s="591">
        <v>2.5000000000000001E-2</v>
      </c>
      <c r="Y9" s="591">
        <v>1.8</v>
      </c>
      <c r="Z9" s="591">
        <v>2.8</v>
      </c>
      <c r="AA9" s="591">
        <v>26</v>
      </c>
      <c r="AB9" s="591">
        <v>0.28000000000000003</v>
      </c>
      <c r="AC9" s="591">
        <v>0.35</v>
      </c>
      <c r="AD9" s="591">
        <v>6.4000000000000001E-2</v>
      </c>
      <c r="AE9" s="591">
        <v>0.34</v>
      </c>
      <c r="AF9" s="591">
        <v>0.64</v>
      </c>
      <c r="AG9" s="35" t="s">
        <v>335</v>
      </c>
      <c r="AH9" s="591">
        <v>2.2000000000000002</v>
      </c>
      <c r="AI9" s="591">
        <v>3.7999999999999999E-2</v>
      </c>
      <c r="AJ9" s="591">
        <v>6.6000000000000003E-2</v>
      </c>
      <c r="AK9" s="35" t="s">
        <v>298</v>
      </c>
      <c r="AL9" s="559">
        <v>9.3000000000000005E-4</v>
      </c>
      <c r="AM9" s="559">
        <v>6.5000000000000002E-2</v>
      </c>
      <c r="AN9" s="33" t="s">
        <v>338</v>
      </c>
      <c r="AO9" s="33" t="s">
        <v>339</v>
      </c>
      <c r="AP9" s="591">
        <v>2.2999999999999998</v>
      </c>
      <c r="AQ9" s="32"/>
      <c r="AR9" s="34" t="s">
        <v>431</v>
      </c>
      <c r="AS9" s="592">
        <v>1.5</v>
      </c>
      <c r="AT9" s="592">
        <v>1.2</v>
      </c>
      <c r="AU9" s="592">
        <v>0.92</v>
      </c>
      <c r="AV9" s="592">
        <v>1.3</v>
      </c>
      <c r="AW9" s="591">
        <v>1.3</v>
      </c>
      <c r="AX9" s="559">
        <v>1</v>
      </c>
      <c r="AY9" s="33" t="s">
        <v>65</v>
      </c>
      <c r="AZ9" s="559">
        <v>4.9000000000000004</v>
      </c>
      <c r="BA9" s="559">
        <v>1</v>
      </c>
      <c r="BB9" s="32">
        <v>4.0999999999999996</v>
      </c>
      <c r="BC9" s="619">
        <f t="shared" si="3"/>
        <v>1.0040816326530611</v>
      </c>
      <c r="BD9" s="610">
        <f t="shared" si="4"/>
        <v>0.99999999999999978</v>
      </c>
      <c r="BF9" s="610" t="e">
        <f t="shared" si="5"/>
        <v>#VALUE!</v>
      </c>
      <c r="BG9" s="610" t="e">
        <f t="shared" si="6"/>
        <v>#VALUE!</v>
      </c>
      <c r="BH9" s="610">
        <f t="shared" si="7"/>
        <v>8.3333333333333329E-2</v>
      </c>
      <c r="BI9" s="610">
        <f t="shared" si="8"/>
        <v>3.217391304347826E-3</v>
      </c>
      <c r="BJ9" s="610">
        <f t="shared" si="9"/>
        <v>7.7777777777777779E-2</v>
      </c>
      <c r="BK9" s="610">
        <f t="shared" si="10"/>
        <v>4.1025641025641026E-3</v>
      </c>
      <c r="BL9" s="610">
        <f t="shared" si="11"/>
        <v>7.1604938271604933E-3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5.5</v>
      </c>
      <c r="BS9" s="564" t="e">
        <f t="shared" si="17"/>
        <v>#VALUE!</v>
      </c>
      <c r="BT9" s="564">
        <f t="shared" si="18"/>
        <v>0.185</v>
      </c>
      <c r="BU9" s="564">
        <f t="shared" si="19"/>
        <v>7.8400000000000007</v>
      </c>
      <c r="BV9" s="564">
        <f t="shared" si="20"/>
        <v>1</v>
      </c>
      <c r="BW9" s="564" t="e">
        <f t="shared" si="21"/>
        <v>#VALUE!</v>
      </c>
      <c r="BX9" s="564">
        <f t="shared" si="0"/>
        <v>5.3199999999999997E-2</v>
      </c>
      <c r="BY9" s="564">
        <f t="shared" si="22"/>
        <v>4.5539999999999997E-2</v>
      </c>
      <c r="BZ9" s="564">
        <f t="shared" si="23"/>
        <v>9.5189999999999988E-4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0.83050847457627119</v>
      </c>
      <c r="CE9" s="610">
        <f t="shared" si="27"/>
        <v>0.83673469387755084</v>
      </c>
      <c r="CF9" s="610">
        <f t="shared" si="1"/>
        <v>0</v>
      </c>
      <c r="CG9" s="610" t="e">
        <f t="shared" si="2"/>
        <v>#VALUE!</v>
      </c>
    </row>
    <row r="10" spans="2:85" ht="20.149999999999999" customHeight="1" x14ac:dyDescent="0.2">
      <c r="B10" s="31" t="s">
        <v>61</v>
      </c>
      <c r="C10" s="32" t="s">
        <v>82</v>
      </c>
      <c r="D10" s="33">
        <v>19.8</v>
      </c>
      <c r="E10" s="34" t="s">
        <v>298</v>
      </c>
      <c r="F10" s="35">
        <v>5.7000000000000002E-2</v>
      </c>
      <c r="G10" s="35">
        <v>4.5999999999999996</v>
      </c>
      <c r="H10" s="36">
        <v>0.11</v>
      </c>
      <c r="I10" s="35">
        <v>1.5</v>
      </c>
      <c r="J10" s="35">
        <v>0.14000000000000001</v>
      </c>
      <c r="K10" s="35">
        <v>8.5000000000000006E-2</v>
      </c>
      <c r="L10" s="32" t="s">
        <v>74</v>
      </c>
      <c r="M10" s="34">
        <v>210</v>
      </c>
      <c r="N10" s="35">
        <v>16</v>
      </c>
      <c r="O10" s="35">
        <v>13</v>
      </c>
      <c r="P10" s="35">
        <v>100</v>
      </c>
      <c r="Q10" s="35">
        <v>46</v>
      </c>
      <c r="R10" s="35" t="s">
        <v>328</v>
      </c>
      <c r="S10" s="591">
        <v>0.85</v>
      </c>
      <c r="T10" s="591">
        <v>6.1</v>
      </c>
      <c r="U10" s="591">
        <v>0.82</v>
      </c>
      <c r="V10" s="591">
        <v>2.8</v>
      </c>
      <c r="W10" s="591">
        <v>31</v>
      </c>
      <c r="X10" s="591">
        <v>2.7E-2</v>
      </c>
      <c r="Y10" s="591">
        <v>2.1</v>
      </c>
      <c r="Z10" s="591">
        <v>3.3</v>
      </c>
      <c r="AA10" s="591">
        <v>23</v>
      </c>
      <c r="AB10" s="591">
        <v>0.38</v>
      </c>
      <c r="AC10" s="591">
        <v>0.43</v>
      </c>
      <c r="AD10" s="591">
        <v>6.4000000000000001E-2</v>
      </c>
      <c r="AE10" s="591">
        <v>0.38</v>
      </c>
      <c r="AF10" s="591">
        <v>0.83</v>
      </c>
      <c r="AG10" s="35" t="s">
        <v>335</v>
      </c>
      <c r="AH10" s="591">
        <v>3.9</v>
      </c>
      <c r="AI10" s="591">
        <v>3.3000000000000002E-2</v>
      </c>
      <c r="AJ10" s="591">
        <v>5.7000000000000002E-2</v>
      </c>
      <c r="AK10" s="35" t="s">
        <v>298</v>
      </c>
      <c r="AL10" s="559">
        <v>1E-3</v>
      </c>
      <c r="AM10" s="559">
        <v>0.13</v>
      </c>
      <c r="AN10" s="33" t="s">
        <v>338</v>
      </c>
      <c r="AO10" s="33" t="s">
        <v>339</v>
      </c>
      <c r="AP10" s="591">
        <v>2.2000000000000002</v>
      </c>
      <c r="AQ10" s="32"/>
      <c r="AR10" s="34" t="s">
        <v>431</v>
      </c>
      <c r="AS10" s="592">
        <v>1.8</v>
      </c>
      <c r="AT10" s="592">
        <v>1.5</v>
      </c>
      <c r="AU10" s="592">
        <v>1.1000000000000001</v>
      </c>
      <c r="AV10" s="592">
        <v>1.8</v>
      </c>
      <c r="AW10" s="591">
        <v>1.8</v>
      </c>
      <c r="AX10" s="559">
        <v>1</v>
      </c>
      <c r="AY10" s="559">
        <v>3.6999999999999998E-2</v>
      </c>
      <c r="AZ10" s="559">
        <v>6.2</v>
      </c>
      <c r="BA10" s="559">
        <v>1</v>
      </c>
      <c r="BB10" s="32">
        <v>5</v>
      </c>
      <c r="BC10" s="619">
        <f t="shared" si="3"/>
        <v>1</v>
      </c>
      <c r="BD10" s="610">
        <f t="shared" si="4"/>
        <v>1.0369999999999997</v>
      </c>
      <c r="BF10" s="610" t="e">
        <f t="shared" si="5"/>
        <v>#VALUE!</v>
      </c>
      <c r="BG10" s="610">
        <f t="shared" si="6"/>
        <v>9.1935483870967749E-4</v>
      </c>
      <c r="BH10" s="610">
        <f t="shared" si="7"/>
        <v>9.5833333333333326E-2</v>
      </c>
      <c r="BI10" s="610">
        <f t="shared" si="8"/>
        <v>4.7826086956521737E-3</v>
      </c>
      <c r="BJ10" s="610">
        <f t="shared" si="9"/>
        <v>8.3333333333333329E-2</v>
      </c>
      <c r="BK10" s="610">
        <f t="shared" si="10"/>
        <v>3.5897435897435902E-3</v>
      </c>
      <c r="BL10" s="610">
        <f t="shared" si="11"/>
        <v>6.9958847736625515E-3</v>
      </c>
      <c r="BM10" s="610" t="e">
        <f t="shared" si="12"/>
        <v>#VALUE!</v>
      </c>
      <c r="BN10" s="563" t="e">
        <f t="shared" si="13"/>
        <v>#VALUE!</v>
      </c>
      <c r="BO10" s="563" t="e">
        <f t="shared" si="14"/>
        <v>#VALUE!</v>
      </c>
      <c r="BP10" s="611" t="e">
        <f t="shared" si="15"/>
        <v>#VALUE!</v>
      </c>
      <c r="BR10" s="564">
        <f t="shared" si="16"/>
        <v>6.3249999999999993</v>
      </c>
      <c r="BS10" s="564">
        <f t="shared" si="17"/>
        <v>7.3529999999999998E-2</v>
      </c>
      <c r="BT10" s="564">
        <f t="shared" si="18"/>
        <v>0.27500000000000002</v>
      </c>
      <c r="BU10" s="564">
        <f t="shared" si="19"/>
        <v>9.9200000000000017</v>
      </c>
      <c r="BV10" s="564">
        <f t="shared" si="20"/>
        <v>1</v>
      </c>
      <c r="BW10" s="564">
        <f t="shared" si="21"/>
        <v>0.14704</v>
      </c>
      <c r="BX10" s="564">
        <f t="shared" si="0"/>
        <v>6.4399999999999999E-2</v>
      </c>
      <c r="BY10" s="564">
        <f t="shared" si="22"/>
        <v>4.2779999999999999E-2</v>
      </c>
      <c r="BZ10" s="564">
        <f t="shared" si="23"/>
        <v>1.4194999999999998E-3</v>
      </c>
      <c r="CA10" s="564">
        <f t="shared" si="24"/>
        <v>17.849169500000002</v>
      </c>
      <c r="CB10" s="611">
        <f t="shared" si="25"/>
        <v>0.90147320707070711</v>
      </c>
      <c r="CD10" s="610">
        <f t="shared" si="26"/>
        <v>0.86111111111111116</v>
      </c>
      <c r="CE10" s="610">
        <f t="shared" si="27"/>
        <v>0.80645161290322576</v>
      </c>
      <c r="CF10" s="610">
        <f t="shared" si="1"/>
        <v>0</v>
      </c>
      <c r="CG10" s="610">
        <f t="shared" si="2"/>
        <v>1.0369999999999997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20.5</v>
      </c>
      <c r="E11" s="42" t="s">
        <v>298</v>
      </c>
      <c r="F11" s="43">
        <v>9.9000000000000005E-2</v>
      </c>
      <c r="G11" s="43">
        <v>3.8</v>
      </c>
      <c r="H11" s="44">
        <v>0.12</v>
      </c>
      <c r="I11" s="43">
        <v>1.2</v>
      </c>
      <c r="J11" s="43">
        <v>0.18</v>
      </c>
      <c r="K11" s="43">
        <v>8.8999999999999996E-2</v>
      </c>
      <c r="L11" s="45">
        <v>0.11</v>
      </c>
      <c r="M11" s="42">
        <v>180</v>
      </c>
      <c r="N11" s="43">
        <v>11</v>
      </c>
      <c r="O11" s="43">
        <v>16</v>
      </c>
      <c r="P11" s="43">
        <v>160</v>
      </c>
      <c r="Q11" s="43">
        <v>97</v>
      </c>
      <c r="R11" s="43" t="s">
        <v>328</v>
      </c>
      <c r="S11" s="593">
        <v>1.1000000000000001</v>
      </c>
      <c r="T11" s="593">
        <v>4.7</v>
      </c>
      <c r="U11" s="593">
        <v>0.56999999999999995</v>
      </c>
      <c r="V11" s="593">
        <v>1.9</v>
      </c>
      <c r="W11" s="593">
        <v>25</v>
      </c>
      <c r="X11" s="593">
        <v>2.1999999999999999E-2</v>
      </c>
      <c r="Y11" s="593">
        <v>1.6</v>
      </c>
      <c r="Z11" s="593">
        <v>4</v>
      </c>
      <c r="AA11" s="593">
        <v>49</v>
      </c>
      <c r="AB11" s="593">
        <v>0.42</v>
      </c>
      <c r="AC11" s="593">
        <v>0.37</v>
      </c>
      <c r="AD11" s="593">
        <v>4.9000000000000002E-2</v>
      </c>
      <c r="AE11" s="593">
        <v>0.3</v>
      </c>
      <c r="AF11" s="593">
        <v>0.84</v>
      </c>
      <c r="AG11" s="43" t="s">
        <v>335</v>
      </c>
      <c r="AH11" s="593">
        <v>7</v>
      </c>
      <c r="AI11" s="593">
        <v>3.7999999999999999E-2</v>
      </c>
      <c r="AJ11" s="593">
        <v>6.5000000000000002E-2</v>
      </c>
      <c r="AK11" s="43" t="s">
        <v>298</v>
      </c>
      <c r="AL11" s="560">
        <v>1E-3</v>
      </c>
      <c r="AM11" s="560">
        <v>8.5999999999999993E-2</v>
      </c>
      <c r="AN11" s="41" t="s">
        <v>338</v>
      </c>
      <c r="AO11" s="41" t="s">
        <v>339</v>
      </c>
      <c r="AP11" s="593">
        <v>2.2999999999999998</v>
      </c>
      <c r="AQ11" s="45"/>
      <c r="AR11" s="42" t="s">
        <v>431</v>
      </c>
      <c r="AS11" s="594">
        <v>2.1</v>
      </c>
      <c r="AT11" s="594">
        <v>2</v>
      </c>
      <c r="AU11" s="594">
        <v>1.3</v>
      </c>
      <c r="AV11" s="594">
        <v>1.9</v>
      </c>
      <c r="AW11" s="593">
        <v>1.9</v>
      </c>
      <c r="AX11" s="560">
        <v>0.94</v>
      </c>
      <c r="AY11" s="41" t="s">
        <v>65</v>
      </c>
      <c r="AZ11" s="560">
        <v>7.3</v>
      </c>
      <c r="BA11" s="560">
        <v>0.94</v>
      </c>
      <c r="BB11" s="45">
        <v>6.1</v>
      </c>
      <c r="BC11" s="620">
        <f t="shared" si="3"/>
        <v>0.99999999999999989</v>
      </c>
      <c r="BD11" s="617">
        <f t="shared" si="4"/>
        <v>1</v>
      </c>
      <c r="BE11" s="616"/>
      <c r="BF11" s="617" t="e">
        <f t="shared" si="5"/>
        <v>#VALUE!</v>
      </c>
      <c r="BG11" s="617">
        <f t="shared" si="6"/>
        <v>1.5967741935483872E-3</v>
      </c>
      <c r="BH11" s="617">
        <f t="shared" si="7"/>
        <v>7.9166666666666663E-2</v>
      </c>
      <c r="BI11" s="617">
        <f t="shared" si="8"/>
        <v>5.2173913043478256E-3</v>
      </c>
      <c r="BJ11" s="617">
        <f t="shared" si="9"/>
        <v>6.6666666666666666E-2</v>
      </c>
      <c r="BK11" s="617">
        <f t="shared" si="10"/>
        <v>4.6153846153846149E-3</v>
      </c>
      <c r="BL11" s="617">
        <f t="shared" si="11"/>
        <v>7.3251028806584359E-3</v>
      </c>
      <c r="BM11" s="617">
        <f t="shared" si="12"/>
        <v>5.4999999999999997E-3</v>
      </c>
      <c r="BN11" s="621" t="e">
        <f t="shared" si="13"/>
        <v>#VALUE!</v>
      </c>
      <c r="BO11" s="621">
        <f t="shared" si="14"/>
        <v>89.324545467057547</v>
      </c>
      <c r="BP11" s="618" t="e">
        <f t="shared" si="15"/>
        <v>#VALUE!</v>
      </c>
      <c r="BQ11" s="616"/>
      <c r="BR11" s="615">
        <f t="shared" si="16"/>
        <v>5.2249999999999996</v>
      </c>
      <c r="BS11" s="615">
        <f t="shared" si="17"/>
        <v>0.12771000000000002</v>
      </c>
      <c r="BT11" s="615">
        <f t="shared" si="18"/>
        <v>0.3</v>
      </c>
      <c r="BU11" s="615">
        <f t="shared" si="19"/>
        <v>11.68</v>
      </c>
      <c r="BV11" s="615">
        <f t="shared" si="20"/>
        <v>0.94</v>
      </c>
      <c r="BW11" s="615">
        <f t="shared" si="21"/>
        <v>0.10109</v>
      </c>
      <c r="BX11" s="615">
        <f t="shared" si="0"/>
        <v>0.1358</v>
      </c>
      <c r="BY11" s="615">
        <f t="shared" si="22"/>
        <v>3.4499999999999996E-2</v>
      </c>
      <c r="BZ11" s="615">
        <f t="shared" si="23"/>
        <v>1.8370000000000001E-3</v>
      </c>
      <c r="CA11" s="615">
        <f t="shared" si="24"/>
        <v>18.545936999999999</v>
      </c>
      <c r="CB11" s="618">
        <f t="shared" si="25"/>
        <v>0.90467985365853654</v>
      </c>
      <c r="CC11" s="617"/>
      <c r="CD11" s="617">
        <f t="shared" si="26"/>
        <v>0.88592233009708732</v>
      </c>
      <c r="CE11" s="617">
        <f t="shared" si="27"/>
        <v>0.83561643835616439</v>
      </c>
      <c r="CF11" s="617">
        <f t="shared" si="1"/>
        <v>0</v>
      </c>
      <c r="CG11" s="617" t="e">
        <f t="shared" si="2"/>
        <v>#VALUE!</v>
      </c>
    </row>
    <row r="12" spans="2:85" ht="20.149999999999999" customHeight="1" x14ac:dyDescent="0.2">
      <c r="B12" s="31" t="s">
        <v>202</v>
      </c>
      <c r="C12" s="46" t="s">
        <v>203</v>
      </c>
      <c r="D12" s="47">
        <v>13.6</v>
      </c>
      <c r="E12" s="630">
        <f t="shared" ref="E12:E18" si="28">0.5*0.012</f>
        <v>6.0000000000000001E-3</v>
      </c>
      <c r="F12" s="49">
        <v>4.3999999999999997E-2</v>
      </c>
      <c r="G12" s="49">
        <v>3.4</v>
      </c>
      <c r="H12" s="50">
        <v>0.22</v>
      </c>
      <c r="I12" s="49">
        <v>0.91</v>
      </c>
      <c r="J12" s="49">
        <v>0.11</v>
      </c>
      <c r="K12" s="49">
        <v>9.9000000000000005E-2</v>
      </c>
      <c r="L12" s="632">
        <f>0.5*0.035</f>
        <v>1.7500000000000002E-2</v>
      </c>
      <c r="M12" s="48">
        <v>280</v>
      </c>
      <c r="N12" s="625">
        <f>0.5*7.4</f>
        <v>3.7</v>
      </c>
      <c r="O12" s="625">
        <f>0.5*12</f>
        <v>6</v>
      </c>
      <c r="P12" s="49">
        <v>75</v>
      </c>
      <c r="Q12" s="49">
        <v>66</v>
      </c>
      <c r="R12" s="625">
        <f t="shared" ref="R12:R18" si="29">0.5*0.0092</f>
        <v>4.5999999999999999E-3</v>
      </c>
      <c r="S12" s="595">
        <v>0.79</v>
      </c>
      <c r="T12" s="595">
        <v>3.5</v>
      </c>
      <c r="U12" s="625">
        <f>0.5*0.52</f>
        <v>0.26</v>
      </c>
      <c r="V12" s="595">
        <v>1.4</v>
      </c>
      <c r="W12" s="595">
        <v>19</v>
      </c>
      <c r="X12" s="595">
        <v>1.9E-2</v>
      </c>
      <c r="Y12" s="595">
        <v>1.5</v>
      </c>
      <c r="Z12" s="595">
        <v>1.8</v>
      </c>
      <c r="AA12" s="595">
        <v>23</v>
      </c>
      <c r="AB12" s="595">
        <v>0.14000000000000001</v>
      </c>
      <c r="AC12" s="595">
        <v>0.18</v>
      </c>
      <c r="AD12" s="595">
        <v>2.5999999999999999E-2</v>
      </c>
      <c r="AE12" s="595">
        <v>0.14000000000000001</v>
      </c>
      <c r="AF12" s="595">
        <v>2.1</v>
      </c>
      <c r="AG12" s="625">
        <f t="shared" ref="AG12:AG18" si="30">0.5*0.006</f>
        <v>3.0000000000000001E-3</v>
      </c>
      <c r="AH12" s="595">
        <v>2.2000000000000002</v>
      </c>
      <c r="AI12" s="595">
        <v>3.2000000000000001E-2</v>
      </c>
      <c r="AJ12" s="595">
        <v>4.5999999999999999E-2</v>
      </c>
      <c r="AK12" s="625">
        <f t="shared" ref="AK12:AK18" si="31">0.5*0.012</f>
        <v>6.0000000000000001E-3</v>
      </c>
      <c r="AL12" s="561">
        <v>1.1000000000000001E-3</v>
      </c>
      <c r="AM12" s="561">
        <v>6.3E-2</v>
      </c>
      <c r="AN12" s="627">
        <f>0.5*0.0014</f>
        <v>6.9999999999999999E-4</v>
      </c>
      <c r="AO12" s="627">
        <f>0.5*0.00082</f>
        <v>4.0999999999999999E-4</v>
      </c>
      <c r="AP12" s="595">
        <v>1.3</v>
      </c>
      <c r="AQ12" s="37"/>
      <c r="AR12" s="630">
        <f t="shared" ref="AR12:AR18" si="32">0.5*0.039</f>
        <v>1.95E-2</v>
      </c>
      <c r="AS12" s="596">
        <v>1.4</v>
      </c>
      <c r="AT12" s="596">
        <v>1.2</v>
      </c>
      <c r="AU12" s="596">
        <v>0.81</v>
      </c>
      <c r="AV12" s="596">
        <v>1.1000000000000001</v>
      </c>
      <c r="AW12" s="595">
        <v>1.2</v>
      </c>
      <c r="AX12" s="561">
        <v>0.84</v>
      </c>
      <c r="AY12" s="561">
        <v>0.03</v>
      </c>
      <c r="AZ12" s="561">
        <v>4.5</v>
      </c>
      <c r="BA12" s="561">
        <v>0.97</v>
      </c>
      <c r="BB12" s="37">
        <v>3.4</v>
      </c>
      <c r="BC12" s="619">
        <f t="shared" si="3"/>
        <v>1.0065555555555556</v>
      </c>
      <c r="BD12" s="610">
        <f t="shared" si="4"/>
        <v>0.99999999999999978</v>
      </c>
      <c r="BF12" s="610">
        <f t="shared" si="5"/>
        <v>1.6901408450704225E-4</v>
      </c>
      <c r="BG12" s="610">
        <f t="shared" si="6"/>
        <v>7.0967741935483864E-4</v>
      </c>
      <c r="BH12" s="610">
        <f t="shared" si="7"/>
        <v>7.0833333333333331E-2</v>
      </c>
      <c r="BI12" s="610">
        <f t="shared" si="8"/>
        <v>9.5652173913043474E-3</v>
      </c>
      <c r="BJ12" s="610">
        <f t="shared" si="9"/>
        <v>5.0555555555555555E-2</v>
      </c>
      <c r="BK12" s="610">
        <f t="shared" si="10"/>
        <v>2.8205128205128207E-3</v>
      </c>
      <c r="BL12" s="610">
        <f t="shared" si="11"/>
        <v>8.1481481481481492E-3</v>
      </c>
      <c r="BM12" s="610">
        <f t="shared" si="12"/>
        <v>8.7500000000000013E-4</v>
      </c>
      <c r="BN12" s="563">
        <f t="shared" si="13"/>
        <v>71.712024837195216</v>
      </c>
      <c r="BO12" s="563">
        <f t="shared" si="14"/>
        <v>71.964433915520871</v>
      </c>
      <c r="BP12" s="611">
        <f t="shared" si="15"/>
        <v>0.99649258578727984</v>
      </c>
      <c r="BR12" s="564">
        <f t="shared" si="16"/>
        <v>4.6749999999999998</v>
      </c>
      <c r="BS12" s="564">
        <f t="shared" si="17"/>
        <v>5.6759999999999998E-2</v>
      </c>
      <c r="BT12" s="564">
        <f t="shared" si="18"/>
        <v>0.55000000000000004</v>
      </c>
      <c r="BU12" s="564">
        <f t="shared" si="19"/>
        <v>7.2</v>
      </c>
      <c r="BV12" s="564">
        <f t="shared" si="20"/>
        <v>0.97</v>
      </c>
      <c r="BW12" s="564">
        <f t="shared" si="21"/>
        <v>3.4003000000000005E-2</v>
      </c>
      <c r="BX12" s="564">
        <f t="shared" si="0"/>
        <v>9.2399999999999996E-2</v>
      </c>
      <c r="BY12" s="564">
        <f t="shared" si="22"/>
        <v>2.6219999999999997E-2</v>
      </c>
      <c r="BZ12" s="564">
        <f t="shared" si="23"/>
        <v>1.3193E-3</v>
      </c>
      <c r="CA12" s="564">
        <f t="shared" si="24"/>
        <v>13.605702300000001</v>
      </c>
      <c r="CB12" s="611">
        <f t="shared" si="25"/>
        <v>1.0004192867647059</v>
      </c>
      <c r="CC12" s="610"/>
      <c r="CD12" s="610">
        <f t="shared" si="26"/>
        <v>0.82266910420475325</v>
      </c>
      <c r="CE12" s="610">
        <f t="shared" si="27"/>
        <v>0.75555555555555554</v>
      </c>
      <c r="CF12" s="610">
        <f t="shared" si="1"/>
        <v>9.9999999999999867E-2</v>
      </c>
      <c r="CG12" s="610">
        <f t="shared" si="2"/>
        <v>0.87</v>
      </c>
    </row>
    <row r="13" spans="2:85" ht="20.149999999999999" customHeight="1" x14ac:dyDescent="0.2">
      <c r="B13" s="31" t="s">
        <v>202</v>
      </c>
      <c r="C13" s="40" t="s">
        <v>204</v>
      </c>
      <c r="D13" s="33">
        <v>22.2</v>
      </c>
      <c r="E13" s="623">
        <f t="shared" si="28"/>
        <v>6.0000000000000001E-3</v>
      </c>
      <c r="F13" s="35">
        <v>8.4000000000000005E-2</v>
      </c>
      <c r="G13" s="35">
        <v>6.2</v>
      </c>
      <c r="H13" s="36">
        <v>8.2000000000000003E-2</v>
      </c>
      <c r="I13" s="35">
        <v>2.2000000000000002</v>
      </c>
      <c r="J13" s="35">
        <v>0.1</v>
      </c>
      <c r="K13" s="35">
        <v>8.7999999999999995E-2</v>
      </c>
      <c r="L13" s="32">
        <v>4.3999999999999997E-2</v>
      </c>
      <c r="M13" s="34">
        <v>120</v>
      </c>
      <c r="N13" s="35">
        <v>7.9</v>
      </c>
      <c r="O13" s="624">
        <f>0.5*12</f>
        <v>6</v>
      </c>
      <c r="P13" s="35">
        <v>60</v>
      </c>
      <c r="Q13" s="35">
        <v>38</v>
      </c>
      <c r="R13" s="624">
        <f t="shared" si="29"/>
        <v>4.5999999999999999E-3</v>
      </c>
      <c r="S13" s="591">
        <v>0.56000000000000005</v>
      </c>
      <c r="T13" s="591">
        <v>2.5</v>
      </c>
      <c r="U13" s="591">
        <v>0.55000000000000004</v>
      </c>
      <c r="V13" s="591">
        <v>2.2000000000000002</v>
      </c>
      <c r="W13" s="591">
        <v>28</v>
      </c>
      <c r="X13" s="591">
        <v>1.6E-2</v>
      </c>
      <c r="Y13" s="591">
        <v>0.93</v>
      </c>
      <c r="Z13" s="591">
        <v>2</v>
      </c>
      <c r="AA13" s="591">
        <v>21</v>
      </c>
      <c r="AB13" s="591">
        <v>0.33</v>
      </c>
      <c r="AC13" s="591">
        <v>0.35</v>
      </c>
      <c r="AD13" s="591">
        <v>3.6999999999999998E-2</v>
      </c>
      <c r="AE13" s="591">
        <v>0.2</v>
      </c>
      <c r="AF13" s="591">
        <v>0.81</v>
      </c>
      <c r="AG13" s="624">
        <f t="shared" si="30"/>
        <v>3.0000000000000001E-3</v>
      </c>
      <c r="AH13" s="591">
        <v>1.2</v>
      </c>
      <c r="AI13" s="591">
        <v>0.47</v>
      </c>
      <c r="AJ13" s="591">
        <v>4.2000000000000003E-2</v>
      </c>
      <c r="AK13" s="624">
        <f t="shared" si="31"/>
        <v>6.0000000000000001E-3</v>
      </c>
      <c r="AL13" s="559">
        <v>1.1999999999999999E-3</v>
      </c>
      <c r="AM13" s="559">
        <v>6.8000000000000005E-2</v>
      </c>
      <c r="AN13" s="628">
        <f>0.5*0.0014</f>
        <v>6.9999999999999999E-4</v>
      </c>
      <c r="AO13" s="628">
        <f>0.5*0.00082</f>
        <v>4.0999999999999999E-4</v>
      </c>
      <c r="AP13" s="591">
        <v>2</v>
      </c>
      <c r="AQ13" s="32"/>
      <c r="AR13" s="623">
        <f t="shared" si="32"/>
        <v>1.95E-2</v>
      </c>
      <c r="AS13" s="592">
        <v>1.5</v>
      </c>
      <c r="AT13" s="592">
        <v>1.1000000000000001</v>
      </c>
      <c r="AU13" s="592">
        <v>0.76</v>
      </c>
      <c r="AV13" s="592">
        <v>1.2</v>
      </c>
      <c r="AW13" s="591">
        <v>1.2</v>
      </c>
      <c r="AX13" s="559">
        <v>1.7</v>
      </c>
      <c r="AY13" s="559">
        <v>5.7000000000000002E-2</v>
      </c>
      <c r="AZ13" s="559">
        <v>4.5999999999999996</v>
      </c>
      <c r="BA13" s="559">
        <v>1.8</v>
      </c>
      <c r="BB13" s="32">
        <v>4.5999999999999996</v>
      </c>
      <c r="BC13" s="619">
        <f t="shared" si="3"/>
        <v>0.99554347826086975</v>
      </c>
      <c r="BD13" s="610">
        <f t="shared" si="4"/>
        <v>0.97611111111111104</v>
      </c>
      <c r="BF13" s="610">
        <f t="shared" si="5"/>
        <v>1.6901408450704225E-4</v>
      </c>
      <c r="BG13" s="610">
        <f t="shared" si="6"/>
        <v>1.3548387096774194E-3</v>
      </c>
      <c r="BH13" s="610">
        <f t="shared" si="7"/>
        <v>0.12916666666666668</v>
      </c>
      <c r="BI13" s="610">
        <f t="shared" si="8"/>
        <v>3.5652173913043482E-3</v>
      </c>
      <c r="BJ13" s="610">
        <f t="shared" si="9"/>
        <v>0.12222222222222223</v>
      </c>
      <c r="BK13" s="610">
        <f t="shared" si="10"/>
        <v>2.5641025641025641E-3</v>
      </c>
      <c r="BL13" s="610">
        <f t="shared" si="11"/>
        <v>7.2427983539094642E-3</v>
      </c>
      <c r="BM13" s="610">
        <f t="shared" si="12"/>
        <v>2.1999999999999997E-3</v>
      </c>
      <c r="BN13" s="563">
        <f t="shared" si="13"/>
        <v>130.69051946085114</v>
      </c>
      <c r="BO13" s="563">
        <f t="shared" si="14"/>
        <v>137.79434053153861</v>
      </c>
      <c r="BP13" s="611">
        <f t="shared" si="15"/>
        <v>0.94844620582177297</v>
      </c>
      <c r="BR13" s="564">
        <f t="shared" si="16"/>
        <v>8.5250000000000004</v>
      </c>
      <c r="BS13" s="564">
        <f t="shared" si="17"/>
        <v>0.10836000000000001</v>
      </c>
      <c r="BT13" s="564">
        <f t="shared" si="18"/>
        <v>0.20500000000000002</v>
      </c>
      <c r="BU13" s="564">
        <f t="shared" si="19"/>
        <v>7.3599999999999994</v>
      </c>
      <c r="BV13" s="564">
        <f t="shared" si="20"/>
        <v>1.8</v>
      </c>
      <c r="BW13" s="564">
        <f t="shared" si="21"/>
        <v>7.2600999999999999E-2</v>
      </c>
      <c r="BX13" s="564">
        <f t="shared" si="0"/>
        <v>5.3199999999999997E-2</v>
      </c>
      <c r="BY13" s="564">
        <f t="shared" si="22"/>
        <v>3.8640000000000001E-2</v>
      </c>
      <c r="BZ13" s="564">
        <f t="shared" si="23"/>
        <v>9.3520000000000007E-4</v>
      </c>
      <c r="CA13" s="564">
        <f t="shared" si="24"/>
        <v>18.163736200000002</v>
      </c>
      <c r="CB13" s="611">
        <f t="shared" si="25"/>
        <v>0.81818631531531549</v>
      </c>
      <c r="CC13" s="610"/>
      <c r="CD13" s="610">
        <f t="shared" si="26"/>
        <v>0.71875</v>
      </c>
      <c r="CE13" s="610">
        <f t="shared" si="27"/>
        <v>1</v>
      </c>
      <c r="CF13" s="610">
        <f t="shared" ref="CF13:CF20" si="33">IF(AW13-AV13&gt;0,AW13-AV13,0)</f>
        <v>0</v>
      </c>
      <c r="CG13" s="610">
        <f t="shared" ref="CG13:CG20" si="34">IF(AW13-AV13&gt;0,AX13+AY13,AW13+AX13+AY13-AV13)</f>
        <v>1.7569999999999999</v>
      </c>
    </row>
    <row r="14" spans="2:85" ht="20.149999999999999" customHeight="1" x14ac:dyDescent="0.2">
      <c r="B14" s="31" t="s">
        <v>202</v>
      </c>
      <c r="C14" s="32" t="s">
        <v>205</v>
      </c>
      <c r="D14" s="33">
        <v>28.3</v>
      </c>
      <c r="E14" s="623">
        <f t="shared" si="28"/>
        <v>6.0000000000000001E-3</v>
      </c>
      <c r="F14" s="35">
        <v>6.7000000000000004E-2</v>
      </c>
      <c r="G14" s="35">
        <v>9.8000000000000007</v>
      </c>
      <c r="H14" s="36">
        <v>0.12</v>
      </c>
      <c r="I14" s="35">
        <v>3.5</v>
      </c>
      <c r="J14" s="35">
        <v>0.13</v>
      </c>
      <c r="K14" s="35">
        <v>0.09</v>
      </c>
      <c r="L14" s="32">
        <v>4.7E-2</v>
      </c>
      <c r="M14" s="34">
        <v>180</v>
      </c>
      <c r="N14" s="35">
        <v>12</v>
      </c>
      <c r="O14" s="35">
        <v>23</v>
      </c>
      <c r="P14" s="35">
        <v>79</v>
      </c>
      <c r="Q14" s="35">
        <v>33</v>
      </c>
      <c r="R14" s="624">
        <f t="shared" si="29"/>
        <v>4.5999999999999999E-3</v>
      </c>
      <c r="S14" s="591">
        <v>1.5</v>
      </c>
      <c r="T14" s="591">
        <v>9.1999999999999993</v>
      </c>
      <c r="U14" s="591">
        <v>0.98</v>
      </c>
      <c r="V14" s="591">
        <v>3.7</v>
      </c>
      <c r="W14" s="591">
        <v>72</v>
      </c>
      <c r="X14" s="591">
        <v>0.04</v>
      </c>
      <c r="Y14" s="591">
        <v>3</v>
      </c>
      <c r="Z14" s="591">
        <v>2.9</v>
      </c>
      <c r="AA14" s="591">
        <v>21</v>
      </c>
      <c r="AB14" s="591">
        <v>0.67</v>
      </c>
      <c r="AC14" s="591">
        <v>0.88</v>
      </c>
      <c r="AD14" s="591">
        <v>8.6999999999999994E-2</v>
      </c>
      <c r="AE14" s="591">
        <v>0.38</v>
      </c>
      <c r="AF14" s="591">
        <v>0.74</v>
      </c>
      <c r="AG14" s="624">
        <f t="shared" si="30"/>
        <v>3.0000000000000001E-3</v>
      </c>
      <c r="AH14" s="591">
        <v>2.5</v>
      </c>
      <c r="AI14" s="591">
        <v>8.4000000000000005E-2</v>
      </c>
      <c r="AJ14" s="591">
        <v>0.11</v>
      </c>
      <c r="AK14" s="624">
        <f t="shared" si="31"/>
        <v>6.0000000000000001E-3</v>
      </c>
      <c r="AL14" s="628">
        <f>0.5*0.00092</f>
        <v>4.6000000000000001E-4</v>
      </c>
      <c r="AM14" s="559">
        <v>0.1</v>
      </c>
      <c r="AN14" s="628">
        <f>0.5*0.0014</f>
        <v>6.9999999999999999E-4</v>
      </c>
      <c r="AO14" s="628">
        <f>0.5*0.00082</f>
        <v>4.0999999999999999E-4</v>
      </c>
      <c r="AP14" s="591">
        <v>3.5</v>
      </c>
      <c r="AQ14" s="32"/>
      <c r="AR14" s="623">
        <f t="shared" si="32"/>
        <v>1.95E-2</v>
      </c>
      <c r="AS14" s="592">
        <v>1.7</v>
      </c>
      <c r="AT14" s="592">
        <v>1</v>
      </c>
      <c r="AU14" s="592">
        <v>0.8</v>
      </c>
      <c r="AV14" s="592">
        <v>1.5</v>
      </c>
      <c r="AW14" s="591">
        <v>1.6</v>
      </c>
      <c r="AX14" s="559">
        <v>1.6</v>
      </c>
      <c r="AY14" s="628">
        <f>0.5*0.029</f>
        <v>1.4500000000000001E-2</v>
      </c>
      <c r="AZ14" s="559">
        <v>5</v>
      </c>
      <c r="BA14" s="559">
        <v>1.7</v>
      </c>
      <c r="BB14" s="32">
        <v>4.7</v>
      </c>
      <c r="BC14" s="619">
        <f t="shared" si="3"/>
        <v>1.0039</v>
      </c>
      <c r="BD14" s="610">
        <f t="shared" si="4"/>
        <v>1.0085294117647059</v>
      </c>
      <c r="BF14" s="610">
        <f t="shared" si="5"/>
        <v>1.6901408450704225E-4</v>
      </c>
      <c r="BG14" s="610">
        <f t="shared" si="6"/>
        <v>1.0806451612903225E-3</v>
      </c>
      <c r="BH14" s="610">
        <f t="shared" si="7"/>
        <v>0.20416666666666669</v>
      </c>
      <c r="BI14" s="610">
        <f t="shared" si="8"/>
        <v>5.2173913043478256E-3</v>
      </c>
      <c r="BJ14" s="610">
        <f t="shared" si="9"/>
        <v>0.19444444444444445</v>
      </c>
      <c r="BK14" s="610">
        <f t="shared" si="10"/>
        <v>3.3333333333333335E-3</v>
      </c>
      <c r="BL14" s="610">
        <f t="shared" si="11"/>
        <v>7.4074074074074068E-3</v>
      </c>
      <c r="BM14" s="610">
        <f t="shared" si="12"/>
        <v>2.3500000000000001E-3</v>
      </c>
      <c r="BN14" s="563">
        <f t="shared" si="13"/>
        <v>205.41632591246406</v>
      </c>
      <c r="BO14" s="563">
        <f t="shared" si="14"/>
        <v>212.752576489533</v>
      </c>
      <c r="BP14" s="611">
        <f t="shared" si="15"/>
        <v>0.96551745366322339</v>
      </c>
      <c r="BR14" s="564">
        <f t="shared" si="16"/>
        <v>13.475000000000001</v>
      </c>
      <c r="BS14" s="564">
        <f t="shared" si="17"/>
        <v>8.6430000000000007E-2</v>
      </c>
      <c r="BT14" s="564">
        <f t="shared" si="18"/>
        <v>0.3</v>
      </c>
      <c r="BU14" s="564">
        <f t="shared" si="19"/>
        <v>8</v>
      </c>
      <c r="BV14" s="564">
        <f t="shared" si="20"/>
        <v>1.7</v>
      </c>
      <c r="BW14" s="564">
        <f t="shared" si="21"/>
        <v>0.11028</v>
      </c>
      <c r="BX14" s="564">
        <f t="shared" si="0"/>
        <v>4.6199999999999998E-2</v>
      </c>
      <c r="BY14" s="564">
        <f t="shared" si="22"/>
        <v>9.935999999999999E-2</v>
      </c>
      <c r="BZ14" s="564">
        <f t="shared" si="23"/>
        <v>2.5049999999999998E-3</v>
      </c>
      <c r="CA14" s="564">
        <f t="shared" si="24"/>
        <v>23.819775</v>
      </c>
      <c r="CB14" s="611">
        <f t="shared" si="25"/>
        <v>0.84168816254416956</v>
      </c>
      <c r="CC14" s="610"/>
      <c r="CD14" s="610">
        <f t="shared" si="26"/>
        <v>0.74626865671641784</v>
      </c>
      <c r="CE14" s="610">
        <f t="shared" si="27"/>
        <v>0.94000000000000006</v>
      </c>
      <c r="CF14" s="610">
        <f t="shared" si="33"/>
        <v>0.10000000000000009</v>
      </c>
      <c r="CG14" s="610">
        <f t="shared" si="34"/>
        <v>1.6145</v>
      </c>
    </row>
    <row r="15" spans="2:85" ht="20.149999999999999" customHeight="1" x14ac:dyDescent="0.2">
      <c r="B15" s="31" t="s">
        <v>202</v>
      </c>
      <c r="C15" s="32" t="s">
        <v>206</v>
      </c>
      <c r="D15" s="33">
        <v>19.8</v>
      </c>
      <c r="E15" s="623">
        <f t="shared" si="28"/>
        <v>6.0000000000000001E-3</v>
      </c>
      <c r="F15" s="35">
        <v>3.6999999999999998E-2</v>
      </c>
      <c r="G15" s="35">
        <v>7</v>
      </c>
      <c r="H15" s="36">
        <v>3.1E-2</v>
      </c>
      <c r="I15" s="35">
        <v>2.5</v>
      </c>
      <c r="J15" s="35">
        <v>0.12</v>
      </c>
      <c r="K15" s="35">
        <v>8.1000000000000003E-2</v>
      </c>
      <c r="L15" s="32">
        <v>4.8000000000000001E-2</v>
      </c>
      <c r="M15" s="34">
        <v>68</v>
      </c>
      <c r="N15" s="35">
        <v>9.1999999999999993</v>
      </c>
      <c r="O15" s="35">
        <v>22</v>
      </c>
      <c r="P15" s="35">
        <v>83</v>
      </c>
      <c r="Q15" s="624">
        <f>0.5*26</f>
        <v>13</v>
      </c>
      <c r="R15" s="624">
        <f t="shared" si="29"/>
        <v>4.5999999999999999E-3</v>
      </c>
      <c r="S15" s="591">
        <v>0.63</v>
      </c>
      <c r="T15" s="591">
        <v>4.3</v>
      </c>
      <c r="U15" s="624">
        <f>0.5*0.52</f>
        <v>0.26</v>
      </c>
      <c r="V15" s="591">
        <v>2.2999999999999998</v>
      </c>
      <c r="W15" s="591">
        <v>30</v>
      </c>
      <c r="X15" s="591">
        <v>3.2000000000000001E-2</v>
      </c>
      <c r="Y15" s="591">
        <v>1.4</v>
      </c>
      <c r="Z15" s="591">
        <v>2.5</v>
      </c>
      <c r="AA15" s="591">
        <v>11</v>
      </c>
      <c r="AB15" s="591">
        <v>0.73</v>
      </c>
      <c r="AC15" s="591">
        <v>0.66</v>
      </c>
      <c r="AD15" s="591">
        <v>9.0999999999999998E-2</v>
      </c>
      <c r="AE15" s="591">
        <v>0.24</v>
      </c>
      <c r="AF15" s="591">
        <v>0.52</v>
      </c>
      <c r="AG15" s="624">
        <f t="shared" si="30"/>
        <v>3.0000000000000001E-3</v>
      </c>
      <c r="AH15" s="591">
        <v>3.4</v>
      </c>
      <c r="AI15" s="591">
        <v>3.2000000000000001E-2</v>
      </c>
      <c r="AJ15" s="591">
        <v>4.2999999999999997E-2</v>
      </c>
      <c r="AK15" s="624">
        <f t="shared" si="31"/>
        <v>6.0000000000000001E-3</v>
      </c>
      <c r="AL15" s="628">
        <f>0.5*0.00092</f>
        <v>4.6000000000000001E-4</v>
      </c>
      <c r="AM15" s="559">
        <v>6.4000000000000001E-2</v>
      </c>
      <c r="AN15" s="628">
        <f>0.5*0.0014</f>
        <v>6.9999999999999999E-4</v>
      </c>
      <c r="AO15" s="628">
        <f>0.5*0.00082</f>
        <v>4.0999999999999999E-4</v>
      </c>
      <c r="AP15" s="591">
        <v>3.9</v>
      </c>
      <c r="AQ15" s="32"/>
      <c r="AR15" s="623">
        <f t="shared" si="32"/>
        <v>1.95E-2</v>
      </c>
      <c r="AS15" s="592">
        <v>0.99</v>
      </c>
      <c r="AT15" s="592">
        <v>0.74</v>
      </c>
      <c r="AU15" s="592">
        <v>0.51</v>
      </c>
      <c r="AV15" s="592">
        <v>0.93</v>
      </c>
      <c r="AW15" s="591">
        <v>0.97</v>
      </c>
      <c r="AX15" s="559">
        <v>1.3</v>
      </c>
      <c r="AY15" s="559">
        <v>3.5000000000000003E-2</v>
      </c>
      <c r="AZ15" s="559">
        <v>3.2</v>
      </c>
      <c r="BA15" s="559">
        <v>1.4</v>
      </c>
      <c r="BB15" s="32">
        <v>3.4</v>
      </c>
      <c r="BC15" s="619">
        <f t="shared" si="3"/>
        <v>0.99671874999999999</v>
      </c>
      <c r="BD15" s="610">
        <f t="shared" si="4"/>
        <v>0.98214285714285721</v>
      </c>
      <c r="BF15" s="610">
        <f t="shared" si="5"/>
        <v>1.6901408450704225E-4</v>
      </c>
      <c r="BG15" s="610">
        <f t="shared" si="6"/>
        <v>5.9677419354838706E-4</v>
      </c>
      <c r="BH15" s="610">
        <f t="shared" si="7"/>
        <v>0.14583333333333334</v>
      </c>
      <c r="BI15" s="610">
        <f t="shared" si="8"/>
        <v>1.3478260869565217E-3</v>
      </c>
      <c r="BJ15" s="610">
        <f t="shared" si="9"/>
        <v>0.1388888888888889</v>
      </c>
      <c r="BK15" s="610">
        <f t="shared" si="10"/>
        <v>3.0769230769230769E-3</v>
      </c>
      <c r="BL15" s="610">
        <f t="shared" si="11"/>
        <v>6.6666666666666671E-3</v>
      </c>
      <c r="BM15" s="610">
        <f t="shared" si="12"/>
        <v>2.4000000000000002E-3</v>
      </c>
      <c r="BN15" s="563">
        <f t="shared" si="13"/>
        <v>146.59912161138877</v>
      </c>
      <c r="BO15" s="563">
        <f t="shared" si="14"/>
        <v>152.38030471943517</v>
      </c>
      <c r="BP15" s="611">
        <f t="shared" si="15"/>
        <v>0.9620608246013761</v>
      </c>
      <c r="BR15" s="564">
        <f t="shared" si="16"/>
        <v>9.625</v>
      </c>
      <c r="BS15" s="564">
        <f t="shared" si="17"/>
        <v>4.7730000000000002E-2</v>
      </c>
      <c r="BT15" s="564">
        <f t="shared" si="18"/>
        <v>7.7499999999999999E-2</v>
      </c>
      <c r="BU15" s="564">
        <f t="shared" si="19"/>
        <v>5.120000000000001</v>
      </c>
      <c r="BV15" s="564">
        <f t="shared" si="20"/>
        <v>1.4</v>
      </c>
      <c r="BW15" s="564">
        <f t="shared" si="21"/>
        <v>8.4547999999999998E-2</v>
      </c>
      <c r="BX15" s="564">
        <f t="shared" si="0"/>
        <v>1.8199999999999997E-2</v>
      </c>
      <c r="BY15" s="564">
        <f t="shared" si="22"/>
        <v>4.1399999999999992E-2</v>
      </c>
      <c r="BZ15" s="564">
        <f t="shared" si="23"/>
        <v>1.0521E-3</v>
      </c>
      <c r="CA15" s="564">
        <f t="shared" si="24"/>
        <v>16.415430100000002</v>
      </c>
      <c r="CB15" s="611">
        <f t="shared" si="25"/>
        <v>0.82906212626262632</v>
      </c>
      <c r="CC15" s="610"/>
      <c r="CD15" s="610">
        <f t="shared" si="26"/>
        <v>0.69565217391304357</v>
      </c>
      <c r="CE15" s="610">
        <f t="shared" si="27"/>
        <v>1.0625</v>
      </c>
      <c r="CF15" s="610">
        <f t="shared" si="33"/>
        <v>3.9999999999999925E-2</v>
      </c>
      <c r="CG15" s="610">
        <f t="shared" si="34"/>
        <v>1.335</v>
      </c>
    </row>
    <row r="16" spans="2:85" ht="20.149999999999999" customHeight="1" x14ac:dyDescent="0.2">
      <c r="B16" s="31" t="s">
        <v>202</v>
      </c>
      <c r="C16" s="32" t="s">
        <v>207</v>
      </c>
      <c r="D16" s="33">
        <v>35.799999999999997</v>
      </c>
      <c r="E16" s="623">
        <f t="shared" si="28"/>
        <v>6.0000000000000001E-3</v>
      </c>
      <c r="F16" s="624">
        <f>0.5*0.031</f>
        <v>1.55E-2</v>
      </c>
      <c r="G16" s="35">
        <v>16</v>
      </c>
      <c r="H16" s="36">
        <v>5.0999999999999997E-2</v>
      </c>
      <c r="I16" s="35">
        <v>6</v>
      </c>
      <c r="J16" s="35">
        <v>0.17</v>
      </c>
      <c r="K16" s="35">
        <v>8.2000000000000003E-2</v>
      </c>
      <c r="L16" s="32">
        <v>4.1000000000000002E-2</v>
      </c>
      <c r="M16" s="34">
        <v>93</v>
      </c>
      <c r="N16" s="35">
        <v>11</v>
      </c>
      <c r="O16" s="35">
        <v>19</v>
      </c>
      <c r="P16" s="35">
        <v>110</v>
      </c>
      <c r="Q16" s="35">
        <v>30</v>
      </c>
      <c r="R16" s="624">
        <f t="shared" si="29"/>
        <v>4.5999999999999999E-3</v>
      </c>
      <c r="S16" s="591">
        <v>1.1000000000000001</v>
      </c>
      <c r="T16" s="591">
        <v>8.4</v>
      </c>
      <c r="U16" s="624">
        <f>0.5*0.52</f>
        <v>0.26</v>
      </c>
      <c r="V16" s="591">
        <v>4</v>
      </c>
      <c r="W16" s="591">
        <v>52</v>
      </c>
      <c r="X16" s="591">
        <v>4.8000000000000001E-2</v>
      </c>
      <c r="Y16" s="591">
        <v>2.8</v>
      </c>
      <c r="Z16" s="591">
        <v>4.3</v>
      </c>
      <c r="AA16" s="591">
        <v>27</v>
      </c>
      <c r="AB16" s="591">
        <v>1.3</v>
      </c>
      <c r="AC16" s="591">
        <v>1.1000000000000001</v>
      </c>
      <c r="AD16" s="591">
        <v>0.18</v>
      </c>
      <c r="AE16" s="591">
        <v>0.47</v>
      </c>
      <c r="AF16" s="591">
        <v>1.7</v>
      </c>
      <c r="AG16" s="624">
        <f t="shared" si="30"/>
        <v>3.0000000000000001E-3</v>
      </c>
      <c r="AH16" s="591">
        <v>2.9</v>
      </c>
      <c r="AI16" s="591">
        <v>6.6000000000000003E-2</v>
      </c>
      <c r="AJ16" s="591">
        <v>9.8000000000000004E-2</v>
      </c>
      <c r="AK16" s="624">
        <f t="shared" si="31"/>
        <v>6.0000000000000001E-3</v>
      </c>
      <c r="AL16" s="559">
        <v>3.0999999999999999E-3</v>
      </c>
      <c r="AM16" s="559">
        <v>0.17</v>
      </c>
      <c r="AN16" s="559">
        <v>2E-3</v>
      </c>
      <c r="AO16" s="559">
        <v>2.5000000000000001E-3</v>
      </c>
      <c r="AP16" s="591">
        <v>7.9</v>
      </c>
      <c r="AQ16" s="32"/>
      <c r="AR16" s="623">
        <f t="shared" si="32"/>
        <v>1.95E-2</v>
      </c>
      <c r="AS16" s="592">
        <v>1.6</v>
      </c>
      <c r="AT16" s="592">
        <v>0.97</v>
      </c>
      <c r="AU16" s="592">
        <v>0.63</v>
      </c>
      <c r="AV16" s="592">
        <v>1.4</v>
      </c>
      <c r="AW16" s="591">
        <v>1.4</v>
      </c>
      <c r="AX16" s="559">
        <v>1.8</v>
      </c>
      <c r="AY16" s="559">
        <v>4.3999999999999997E-2</v>
      </c>
      <c r="AZ16" s="559">
        <v>4.5999999999999996</v>
      </c>
      <c r="BA16" s="559">
        <v>1.8</v>
      </c>
      <c r="BB16" s="32">
        <v>4.8</v>
      </c>
      <c r="BC16" s="619">
        <f t="shared" si="3"/>
        <v>1.0042391304347829</v>
      </c>
      <c r="BD16" s="610">
        <f t="shared" si="4"/>
        <v>1.0244444444444445</v>
      </c>
      <c r="BF16" s="610">
        <f t="shared" si="5"/>
        <v>1.6901408450704225E-4</v>
      </c>
      <c r="BG16" s="610">
        <f t="shared" si="6"/>
        <v>2.5000000000000001E-4</v>
      </c>
      <c r="BH16" s="610">
        <f t="shared" si="7"/>
        <v>0.33333333333333331</v>
      </c>
      <c r="BI16" s="610">
        <f t="shared" si="8"/>
        <v>2.217391304347826E-3</v>
      </c>
      <c r="BJ16" s="610">
        <f t="shared" si="9"/>
        <v>0.33333333333333331</v>
      </c>
      <c r="BK16" s="610">
        <f t="shared" si="10"/>
        <v>4.3589743589743596E-3</v>
      </c>
      <c r="BL16" s="610">
        <f t="shared" si="11"/>
        <v>6.748971193415638E-3</v>
      </c>
      <c r="BM16" s="610">
        <f t="shared" si="12"/>
        <v>2.0500000000000002E-3</v>
      </c>
      <c r="BN16" s="563">
        <f t="shared" si="13"/>
        <v>333.75234741784038</v>
      </c>
      <c r="BO16" s="563">
        <f t="shared" si="14"/>
        <v>348.70867019007119</v>
      </c>
      <c r="BP16" s="611">
        <f t="shared" si="15"/>
        <v>0.95710940377800602</v>
      </c>
      <c r="BR16" s="564">
        <f t="shared" si="16"/>
        <v>22</v>
      </c>
      <c r="BS16" s="564">
        <f t="shared" si="17"/>
        <v>1.9994999999999999E-2</v>
      </c>
      <c r="BT16" s="564">
        <f t="shared" si="18"/>
        <v>0.1275</v>
      </c>
      <c r="BU16" s="564">
        <f t="shared" si="19"/>
        <v>7.3599999999999994</v>
      </c>
      <c r="BV16" s="564">
        <f t="shared" si="20"/>
        <v>1.8</v>
      </c>
      <c r="BW16" s="564">
        <f t="shared" si="21"/>
        <v>0.10109</v>
      </c>
      <c r="BX16" s="564">
        <f t="shared" si="0"/>
        <v>4.1999999999999996E-2</v>
      </c>
      <c r="BY16" s="564">
        <f t="shared" si="22"/>
        <v>7.175999999999999E-2</v>
      </c>
      <c r="BZ16" s="564">
        <f t="shared" si="23"/>
        <v>1.8370000000000001E-3</v>
      </c>
      <c r="CA16" s="564">
        <f t="shared" si="24"/>
        <v>31.524182000000003</v>
      </c>
      <c r="CB16" s="611">
        <f t="shared" si="25"/>
        <v>0.88056374301675999</v>
      </c>
      <c r="CC16" s="610"/>
      <c r="CD16" s="610">
        <f t="shared" si="26"/>
        <v>0.71875</v>
      </c>
      <c r="CE16" s="610">
        <f t="shared" si="27"/>
        <v>1.0434782608695652</v>
      </c>
      <c r="CF16" s="610">
        <f t="shared" si="33"/>
        <v>0</v>
      </c>
      <c r="CG16" s="610">
        <f t="shared" si="34"/>
        <v>1.8440000000000003</v>
      </c>
    </row>
    <row r="17" spans="2:85" ht="20.149999999999999" customHeight="1" x14ac:dyDescent="0.2">
      <c r="B17" s="31" t="s">
        <v>202</v>
      </c>
      <c r="C17" s="32" t="s">
        <v>208</v>
      </c>
      <c r="D17" s="33">
        <v>26</v>
      </c>
      <c r="E17" s="623">
        <f t="shared" si="28"/>
        <v>6.0000000000000001E-3</v>
      </c>
      <c r="F17" s="35">
        <v>3.3000000000000002E-2</v>
      </c>
      <c r="G17" s="35">
        <v>10</v>
      </c>
      <c r="H17" s="36">
        <v>1.4999999999999999E-2</v>
      </c>
      <c r="I17" s="35">
        <v>3.8</v>
      </c>
      <c r="J17" s="35">
        <v>0.23</v>
      </c>
      <c r="K17" s="35">
        <v>8.5999999999999993E-2</v>
      </c>
      <c r="L17" s="32">
        <v>6.6000000000000003E-2</v>
      </c>
      <c r="M17" s="34">
        <v>58</v>
      </c>
      <c r="N17" s="35">
        <v>34</v>
      </c>
      <c r="O17" s="35">
        <v>15</v>
      </c>
      <c r="P17" s="35">
        <v>230</v>
      </c>
      <c r="Q17" s="35">
        <v>46</v>
      </c>
      <c r="R17" s="624">
        <f t="shared" si="29"/>
        <v>4.5999999999999999E-3</v>
      </c>
      <c r="S17" s="591">
        <v>1</v>
      </c>
      <c r="T17" s="591">
        <v>5.2</v>
      </c>
      <c r="U17" s="624">
        <f>0.5*0.52</f>
        <v>0.26</v>
      </c>
      <c r="V17" s="591">
        <v>3.1</v>
      </c>
      <c r="W17" s="591">
        <v>35</v>
      </c>
      <c r="X17" s="591">
        <v>0.04</v>
      </c>
      <c r="Y17" s="591">
        <v>2.6</v>
      </c>
      <c r="Z17" s="591">
        <v>6.5</v>
      </c>
      <c r="AA17" s="591">
        <v>23</v>
      </c>
      <c r="AB17" s="591">
        <v>1.1000000000000001</v>
      </c>
      <c r="AC17" s="591">
        <v>0.77</v>
      </c>
      <c r="AD17" s="591">
        <v>0.17</v>
      </c>
      <c r="AE17" s="591">
        <v>0.28000000000000003</v>
      </c>
      <c r="AF17" s="591">
        <v>1.1000000000000001</v>
      </c>
      <c r="AG17" s="624">
        <f t="shared" si="30"/>
        <v>3.0000000000000001E-3</v>
      </c>
      <c r="AH17" s="591">
        <v>11</v>
      </c>
      <c r="AI17" s="591">
        <v>3.4000000000000002E-2</v>
      </c>
      <c r="AJ17" s="591">
        <v>5.1999999999999998E-2</v>
      </c>
      <c r="AK17" s="624">
        <f t="shared" si="31"/>
        <v>6.0000000000000001E-3</v>
      </c>
      <c r="AL17" s="559">
        <v>1.5E-3</v>
      </c>
      <c r="AM17" s="559">
        <v>6.4000000000000001E-2</v>
      </c>
      <c r="AN17" s="628">
        <f>0.5*0.0014</f>
        <v>6.9999999999999999E-4</v>
      </c>
      <c r="AO17" s="559">
        <v>1.1000000000000001E-3</v>
      </c>
      <c r="AP17" s="591">
        <v>5.5</v>
      </c>
      <c r="AQ17" s="32"/>
      <c r="AR17" s="623">
        <f t="shared" si="32"/>
        <v>1.95E-2</v>
      </c>
      <c r="AS17" s="592">
        <v>1.6</v>
      </c>
      <c r="AT17" s="592">
        <v>1</v>
      </c>
      <c r="AU17" s="592">
        <v>0.67</v>
      </c>
      <c r="AV17" s="592">
        <v>1.5</v>
      </c>
      <c r="AW17" s="591">
        <v>1.6</v>
      </c>
      <c r="AX17" s="559">
        <v>1.2</v>
      </c>
      <c r="AY17" s="559">
        <v>3.1E-2</v>
      </c>
      <c r="AZ17" s="559">
        <v>4.8</v>
      </c>
      <c r="BA17" s="559">
        <v>1.3</v>
      </c>
      <c r="BB17" s="32">
        <v>4.2</v>
      </c>
      <c r="BC17" s="619">
        <f t="shared" si="3"/>
        <v>0.9978125000000001</v>
      </c>
      <c r="BD17" s="610">
        <f t="shared" si="4"/>
        <v>1.0238461538461539</v>
      </c>
      <c r="BF17" s="610">
        <f t="shared" si="5"/>
        <v>1.6901408450704225E-4</v>
      </c>
      <c r="BG17" s="610">
        <f t="shared" si="6"/>
        <v>5.3225806451612906E-4</v>
      </c>
      <c r="BH17" s="610">
        <f t="shared" si="7"/>
        <v>0.20833333333333334</v>
      </c>
      <c r="BI17" s="610">
        <f t="shared" si="8"/>
        <v>6.521739130434782E-4</v>
      </c>
      <c r="BJ17" s="610">
        <f t="shared" si="9"/>
        <v>0.21111111111111111</v>
      </c>
      <c r="BK17" s="610">
        <f t="shared" si="10"/>
        <v>5.8974358974358976E-3</v>
      </c>
      <c r="BL17" s="610">
        <f t="shared" si="11"/>
        <v>7.0781893004115215E-3</v>
      </c>
      <c r="BM17" s="610">
        <f t="shared" si="12"/>
        <v>3.3E-3</v>
      </c>
      <c r="BN17" s="563">
        <f t="shared" si="13"/>
        <v>209.03460548235651</v>
      </c>
      <c r="BO17" s="563">
        <f t="shared" si="14"/>
        <v>228.03891022200202</v>
      </c>
      <c r="BP17" s="611">
        <f t="shared" si="15"/>
        <v>0.91666200859693503</v>
      </c>
      <c r="BR17" s="564">
        <f t="shared" si="16"/>
        <v>13.75</v>
      </c>
      <c r="BS17" s="564">
        <f t="shared" si="17"/>
        <v>4.2570000000000004E-2</v>
      </c>
      <c r="BT17" s="564">
        <f t="shared" si="18"/>
        <v>3.7499999999999999E-2</v>
      </c>
      <c r="BU17" s="564">
        <f t="shared" si="19"/>
        <v>7.68</v>
      </c>
      <c r="BV17" s="564">
        <f t="shared" si="20"/>
        <v>1.3</v>
      </c>
      <c r="BW17" s="564">
        <f t="shared" si="21"/>
        <v>0.31246000000000002</v>
      </c>
      <c r="BX17" s="564">
        <f t="shared" si="0"/>
        <v>6.4399999999999999E-2</v>
      </c>
      <c r="BY17" s="564">
        <f t="shared" si="22"/>
        <v>4.8300000000000003E-2</v>
      </c>
      <c r="BZ17" s="564">
        <f t="shared" si="23"/>
        <v>1.67E-3</v>
      </c>
      <c r="CA17" s="564">
        <f t="shared" si="24"/>
        <v>23.236900000000002</v>
      </c>
      <c r="CB17" s="611">
        <f t="shared" si="25"/>
        <v>0.89372692307692314</v>
      </c>
      <c r="CC17" s="610"/>
      <c r="CD17" s="610">
        <f t="shared" si="26"/>
        <v>0.78688524590163933</v>
      </c>
      <c r="CE17" s="610">
        <f t="shared" si="27"/>
        <v>0.87500000000000011</v>
      </c>
      <c r="CF17" s="610">
        <f t="shared" si="33"/>
        <v>0.10000000000000009</v>
      </c>
      <c r="CG17" s="610">
        <f t="shared" si="34"/>
        <v>1.2309999999999999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30.5</v>
      </c>
      <c r="E18" s="631">
        <f t="shared" si="28"/>
        <v>6.0000000000000001E-3</v>
      </c>
      <c r="F18" s="43">
        <v>3.9E-2</v>
      </c>
      <c r="G18" s="43">
        <v>13</v>
      </c>
      <c r="H18" s="44">
        <v>3.2000000000000001E-2</v>
      </c>
      <c r="I18" s="43">
        <v>4.9000000000000004</v>
      </c>
      <c r="J18" s="43">
        <v>0.17</v>
      </c>
      <c r="K18" s="43">
        <v>8.5999999999999993E-2</v>
      </c>
      <c r="L18" s="634">
        <f>0.5*0.035</f>
        <v>1.7500000000000002E-2</v>
      </c>
      <c r="M18" s="42">
        <v>58</v>
      </c>
      <c r="N18" s="43">
        <v>32</v>
      </c>
      <c r="O18" s="43">
        <v>25</v>
      </c>
      <c r="P18" s="43">
        <v>100</v>
      </c>
      <c r="Q18" s="43">
        <v>29</v>
      </c>
      <c r="R18" s="626">
        <f t="shared" si="29"/>
        <v>4.5999999999999999E-3</v>
      </c>
      <c r="S18" s="593">
        <v>0.84</v>
      </c>
      <c r="T18" s="593">
        <v>5.3</v>
      </c>
      <c r="U18" s="626">
        <f>0.5*0.52</f>
        <v>0.26</v>
      </c>
      <c r="V18" s="593">
        <v>2.5</v>
      </c>
      <c r="W18" s="593">
        <v>33</v>
      </c>
      <c r="X18" s="593">
        <v>3.9E-2</v>
      </c>
      <c r="Y18" s="593">
        <v>1.7</v>
      </c>
      <c r="Z18" s="593">
        <v>4.5</v>
      </c>
      <c r="AA18" s="593">
        <v>22</v>
      </c>
      <c r="AB18" s="593">
        <v>1.2</v>
      </c>
      <c r="AC18" s="593">
        <v>0.94</v>
      </c>
      <c r="AD18" s="593">
        <v>0.14000000000000001</v>
      </c>
      <c r="AE18" s="593">
        <v>0.24</v>
      </c>
      <c r="AF18" s="593">
        <v>0.78</v>
      </c>
      <c r="AG18" s="626">
        <f t="shared" si="30"/>
        <v>3.0000000000000001E-3</v>
      </c>
      <c r="AH18" s="593">
        <v>3.6</v>
      </c>
      <c r="AI18" s="593">
        <v>2.8000000000000001E-2</v>
      </c>
      <c r="AJ18" s="593">
        <v>0.04</v>
      </c>
      <c r="AK18" s="626">
        <f t="shared" si="31"/>
        <v>6.0000000000000001E-3</v>
      </c>
      <c r="AL18" s="560">
        <v>1.1999999999999999E-3</v>
      </c>
      <c r="AM18" s="560">
        <v>4.4999999999999998E-2</v>
      </c>
      <c r="AN18" s="629">
        <f>0.5*0.0014</f>
        <v>6.9999999999999999E-4</v>
      </c>
      <c r="AO18" s="560">
        <v>1.1999999999999999E-3</v>
      </c>
      <c r="AP18" s="593">
        <v>5.3</v>
      </c>
      <c r="AQ18" s="45"/>
      <c r="AR18" s="631">
        <f t="shared" si="32"/>
        <v>1.95E-2</v>
      </c>
      <c r="AS18" s="594">
        <v>1.8</v>
      </c>
      <c r="AT18" s="594">
        <v>1</v>
      </c>
      <c r="AU18" s="594">
        <v>0.66</v>
      </c>
      <c r="AV18" s="594">
        <v>1.4</v>
      </c>
      <c r="AW18" s="593">
        <v>1.4</v>
      </c>
      <c r="AX18" s="560">
        <v>1.5</v>
      </c>
      <c r="AY18" s="560">
        <v>4.5999999999999999E-2</v>
      </c>
      <c r="AZ18" s="560">
        <v>4.9000000000000004</v>
      </c>
      <c r="BA18" s="560">
        <v>1.5</v>
      </c>
      <c r="BB18" s="45">
        <v>4.4000000000000004</v>
      </c>
      <c r="BC18" s="620">
        <f t="shared" si="3"/>
        <v>0.99581632653061225</v>
      </c>
      <c r="BD18" s="617">
        <f t="shared" si="4"/>
        <v>1.0306666666666666</v>
      </c>
      <c r="BE18" s="616"/>
      <c r="BF18" s="617">
        <f t="shared" si="5"/>
        <v>1.6901408450704225E-4</v>
      </c>
      <c r="BG18" s="617">
        <f t="shared" si="6"/>
        <v>6.2903225806451612E-4</v>
      </c>
      <c r="BH18" s="617">
        <f t="shared" si="7"/>
        <v>0.27083333333333331</v>
      </c>
      <c r="BI18" s="617">
        <f t="shared" si="8"/>
        <v>1.3913043478260871E-3</v>
      </c>
      <c r="BJ18" s="617">
        <f t="shared" si="9"/>
        <v>0.27222222222222225</v>
      </c>
      <c r="BK18" s="617">
        <f t="shared" si="10"/>
        <v>4.3589743589743596E-3</v>
      </c>
      <c r="BL18" s="617">
        <f t="shared" si="11"/>
        <v>7.0781893004115215E-3</v>
      </c>
      <c r="BM18" s="617">
        <f t="shared" si="12"/>
        <v>8.7500000000000013E-4</v>
      </c>
      <c r="BN18" s="621">
        <f t="shared" si="13"/>
        <v>271.6313796759049</v>
      </c>
      <c r="BO18" s="621">
        <f t="shared" si="14"/>
        <v>285.92569022943428</v>
      </c>
      <c r="BP18" s="618">
        <f t="shared" si="15"/>
        <v>0.95000690374460839</v>
      </c>
      <c r="BQ18" s="616"/>
      <c r="BR18" s="615">
        <f t="shared" si="16"/>
        <v>17.875</v>
      </c>
      <c r="BS18" s="615">
        <f t="shared" si="17"/>
        <v>5.0310000000000001E-2</v>
      </c>
      <c r="BT18" s="615">
        <f t="shared" si="18"/>
        <v>0.08</v>
      </c>
      <c r="BU18" s="615">
        <f t="shared" si="19"/>
        <v>7.8400000000000007</v>
      </c>
      <c r="BV18" s="615">
        <f t="shared" si="20"/>
        <v>1.5</v>
      </c>
      <c r="BW18" s="615">
        <f t="shared" si="21"/>
        <v>0.29408000000000001</v>
      </c>
      <c r="BX18" s="615">
        <f t="shared" si="0"/>
        <v>4.0599999999999997E-2</v>
      </c>
      <c r="BY18" s="615">
        <f t="shared" si="22"/>
        <v>4.5539999999999997E-2</v>
      </c>
      <c r="BZ18" s="615">
        <f t="shared" si="23"/>
        <v>1.4027999999999998E-3</v>
      </c>
      <c r="CA18" s="615">
        <f t="shared" si="24"/>
        <v>27.7269328</v>
      </c>
      <c r="CB18" s="618">
        <f t="shared" si="25"/>
        <v>0.90907976393442624</v>
      </c>
      <c r="CC18" s="617"/>
      <c r="CD18" s="617">
        <f t="shared" si="26"/>
        <v>0.765625</v>
      </c>
      <c r="CE18" s="617">
        <f t="shared" si="27"/>
        <v>0.89795918367346939</v>
      </c>
      <c r="CF18" s="617">
        <f t="shared" si="33"/>
        <v>0</v>
      </c>
      <c r="CG18" s="617">
        <f t="shared" si="34"/>
        <v>1.5459999999999998</v>
      </c>
    </row>
    <row r="19" spans="2:85" ht="20.149999999999999" customHeight="1" x14ac:dyDescent="0.2">
      <c r="B19" s="31" t="s">
        <v>61</v>
      </c>
      <c r="C19" s="46" t="s">
        <v>92</v>
      </c>
      <c r="D19" s="47">
        <v>28.2</v>
      </c>
      <c r="E19" s="48" t="s">
        <v>298</v>
      </c>
      <c r="F19" s="49">
        <v>4.7E-2</v>
      </c>
      <c r="G19" s="49">
        <v>12</v>
      </c>
      <c r="H19" s="50">
        <v>3.7999999999999999E-2</v>
      </c>
      <c r="I19" s="49">
        <v>4.5999999999999996</v>
      </c>
      <c r="J19" s="49">
        <v>0.18</v>
      </c>
      <c r="K19" s="49">
        <v>9.0999999999999998E-2</v>
      </c>
      <c r="L19" s="37">
        <v>3.5000000000000003E-2</v>
      </c>
      <c r="M19" s="48">
        <v>88</v>
      </c>
      <c r="N19" s="49">
        <v>23</v>
      </c>
      <c r="O19" s="49">
        <v>31</v>
      </c>
      <c r="P19" s="49">
        <v>140</v>
      </c>
      <c r="Q19" s="49">
        <v>65</v>
      </c>
      <c r="R19" s="49" t="s">
        <v>328</v>
      </c>
      <c r="S19" s="595">
        <v>1.2</v>
      </c>
      <c r="T19" s="595">
        <v>5.6</v>
      </c>
      <c r="U19" s="49" t="s">
        <v>330</v>
      </c>
      <c r="V19" s="595">
        <v>3.7</v>
      </c>
      <c r="W19" s="595">
        <v>76</v>
      </c>
      <c r="X19" s="595">
        <v>0.05</v>
      </c>
      <c r="Y19" s="595">
        <v>1.9</v>
      </c>
      <c r="Z19" s="595">
        <v>4.2</v>
      </c>
      <c r="AA19" s="595">
        <v>38</v>
      </c>
      <c r="AB19" s="595">
        <v>1.6</v>
      </c>
      <c r="AC19" s="595">
        <v>1.2</v>
      </c>
      <c r="AD19" s="595">
        <v>0.22</v>
      </c>
      <c r="AE19" s="595">
        <v>0.33</v>
      </c>
      <c r="AF19" s="595">
        <v>0.89</v>
      </c>
      <c r="AG19" s="49" t="s">
        <v>335</v>
      </c>
      <c r="AH19" s="595">
        <v>3.3</v>
      </c>
      <c r="AI19" s="595">
        <v>3.7999999999999999E-2</v>
      </c>
      <c r="AJ19" s="595">
        <v>5.2999999999999999E-2</v>
      </c>
      <c r="AK19" s="49" t="s">
        <v>298</v>
      </c>
      <c r="AL19" s="561">
        <v>1.4E-3</v>
      </c>
      <c r="AM19" s="561">
        <v>6.8000000000000005E-2</v>
      </c>
      <c r="AN19" s="47" t="s">
        <v>338</v>
      </c>
      <c r="AO19" s="561">
        <v>1.5E-3</v>
      </c>
      <c r="AP19" s="595">
        <v>7.4</v>
      </c>
      <c r="AQ19" s="37"/>
      <c r="AR19" s="48" t="s">
        <v>431</v>
      </c>
      <c r="AS19" s="596">
        <v>1.6</v>
      </c>
      <c r="AT19" s="596">
        <v>0.97</v>
      </c>
      <c r="AU19" s="596">
        <v>0.6</v>
      </c>
      <c r="AV19" s="596">
        <v>1.3</v>
      </c>
      <c r="AW19" s="595">
        <v>1.4</v>
      </c>
      <c r="AX19" s="561">
        <v>1.3</v>
      </c>
      <c r="AY19" s="561">
        <v>5.8000000000000003E-2</v>
      </c>
      <c r="AZ19" s="561">
        <v>4.5</v>
      </c>
      <c r="BA19" s="561">
        <v>1.5</v>
      </c>
      <c r="BB19" s="37">
        <v>4.0999999999999996</v>
      </c>
      <c r="BC19" s="619">
        <f t="shared" si="3"/>
        <v>0.99333333333333351</v>
      </c>
      <c r="BD19" s="610">
        <f t="shared" si="4"/>
        <v>0.97199999999999998</v>
      </c>
      <c r="BF19" s="610" t="e">
        <f t="shared" si="5"/>
        <v>#VALUE!</v>
      </c>
      <c r="BG19" s="610">
        <f t="shared" si="6"/>
        <v>7.5806451612903222E-4</v>
      </c>
      <c r="BH19" s="610">
        <f t="shared" si="7"/>
        <v>0.25</v>
      </c>
      <c r="BI19" s="610">
        <f t="shared" si="8"/>
        <v>1.6521739130434781E-3</v>
      </c>
      <c r="BJ19" s="610">
        <f t="shared" si="9"/>
        <v>0.25555555555555554</v>
      </c>
      <c r="BK19" s="610">
        <f t="shared" si="10"/>
        <v>4.6153846153846149E-3</v>
      </c>
      <c r="BL19" s="610">
        <f t="shared" si="11"/>
        <v>7.4897119341563786E-3</v>
      </c>
      <c r="BM19" s="610">
        <f t="shared" si="12"/>
        <v>1.7500000000000003E-3</v>
      </c>
      <c r="BN19" s="563" t="e">
        <f t="shared" si="13"/>
        <v>#VALUE!</v>
      </c>
      <c r="BO19" s="563">
        <f t="shared" si="14"/>
        <v>271.06282601813996</v>
      </c>
      <c r="BP19" s="611" t="e">
        <f t="shared" si="15"/>
        <v>#VALUE!</v>
      </c>
      <c r="BR19" s="564">
        <f t="shared" si="16"/>
        <v>16.5</v>
      </c>
      <c r="BS19" s="564">
        <f t="shared" si="17"/>
        <v>6.0630000000000003E-2</v>
      </c>
      <c r="BT19" s="564">
        <f t="shared" si="18"/>
        <v>9.5000000000000001E-2</v>
      </c>
      <c r="BU19" s="564">
        <f t="shared" si="19"/>
        <v>7.2</v>
      </c>
      <c r="BV19" s="564">
        <f t="shared" si="20"/>
        <v>1.5</v>
      </c>
      <c r="BW19" s="564">
        <f t="shared" si="21"/>
        <v>0.21137</v>
      </c>
      <c r="BX19" s="564">
        <f t="shared" si="0"/>
        <v>9.0999999999999998E-2</v>
      </c>
      <c r="BY19" s="564">
        <f t="shared" si="22"/>
        <v>0.10487999999999999</v>
      </c>
      <c r="BZ19" s="564">
        <f t="shared" si="23"/>
        <v>2.0039999999999997E-3</v>
      </c>
      <c r="CA19" s="564">
        <f t="shared" si="24"/>
        <v>25.764883999999999</v>
      </c>
      <c r="CB19" s="611">
        <f t="shared" si="25"/>
        <v>0.9136483687943262</v>
      </c>
      <c r="CC19" s="610"/>
      <c r="CD19" s="610">
        <f t="shared" si="26"/>
        <v>0.75</v>
      </c>
      <c r="CE19" s="610">
        <f t="shared" si="27"/>
        <v>0.91111111111111098</v>
      </c>
      <c r="CF19" s="610">
        <f t="shared" si="33"/>
        <v>9.9999999999999867E-2</v>
      </c>
      <c r="CG19" s="610">
        <f t="shared" si="34"/>
        <v>1.3580000000000001</v>
      </c>
    </row>
    <row r="20" spans="2:85" ht="20.149999999999999" customHeight="1" x14ac:dyDescent="0.2">
      <c r="B20" s="21" t="s">
        <v>61</v>
      </c>
      <c r="C20" s="52" t="s">
        <v>210</v>
      </c>
      <c r="D20" s="53">
        <v>23.7</v>
      </c>
      <c r="E20" s="54" t="s">
        <v>298</v>
      </c>
      <c r="F20" s="55">
        <v>5.2999999999999999E-2</v>
      </c>
      <c r="G20" s="55">
        <v>10</v>
      </c>
      <c r="H20" s="56">
        <v>2.7E-2</v>
      </c>
      <c r="I20" s="55">
        <v>3.7</v>
      </c>
      <c r="J20" s="55">
        <v>0.14000000000000001</v>
      </c>
      <c r="K20" s="55">
        <v>8.1000000000000003E-2</v>
      </c>
      <c r="L20" s="52" t="s">
        <v>74</v>
      </c>
      <c r="M20" s="54">
        <v>69</v>
      </c>
      <c r="N20" s="55">
        <v>20</v>
      </c>
      <c r="O20" s="55">
        <v>31</v>
      </c>
      <c r="P20" s="55">
        <v>110</v>
      </c>
      <c r="Q20" s="55">
        <v>61</v>
      </c>
      <c r="R20" s="55" t="s">
        <v>328</v>
      </c>
      <c r="S20" s="597">
        <v>1.5</v>
      </c>
      <c r="T20" s="597">
        <v>5.4</v>
      </c>
      <c r="U20" s="55" t="s">
        <v>330</v>
      </c>
      <c r="V20" s="597">
        <v>3.6</v>
      </c>
      <c r="W20" s="597">
        <v>40</v>
      </c>
      <c r="X20" s="597">
        <v>4.9000000000000002E-2</v>
      </c>
      <c r="Y20" s="597">
        <v>1.9</v>
      </c>
      <c r="Z20" s="597">
        <v>4.2</v>
      </c>
      <c r="AA20" s="597">
        <v>36</v>
      </c>
      <c r="AB20" s="597">
        <v>1.3</v>
      </c>
      <c r="AC20" s="597">
        <v>1.1000000000000001</v>
      </c>
      <c r="AD20" s="597">
        <v>0.19</v>
      </c>
      <c r="AE20" s="597">
        <v>0.3</v>
      </c>
      <c r="AF20" s="597">
        <v>0.95</v>
      </c>
      <c r="AG20" s="55" t="s">
        <v>335</v>
      </c>
      <c r="AH20" s="597">
        <v>2.9</v>
      </c>
      <c r="AI20" s="597">
        <v>0.05</v>
      </c>
      <c r="AJ20" s="597">
        <v>8.4000000000000005E-2</v>
      </c>
      <c r="AK20" s="55" t="s">
        <v>298</v>
      </c>
      <c r="AL20" s="562">
        <v>2.8999999999999998E-3</v>
      </c>
      <c r="AM20" s="562">
        <v>0.09</v>
      </c>
      <c r="AN20" s="53" t="s">
        <v>338</v>
      </c>
      <c r="AO20" s="562">
        <v>1.2999999999999999E-3</v>
      </c>
      <c r="AP20" s="597">
        <v>6.1</v>
      </c>
      <c r="AQ20" s="52"/>
      <c r="AR20" s="54" t="s">
        <v>431</v>
      </c>
      <c r="AS20" s="598">
        <v>1.6</v>
      </c>
      <c r="AT20" s="598">
        <v>0.81</v>
      </c>
      <c r="AU20" s="598">
        <v>0.6</v>
      </c>
      <c r="AV20" s="598">
        <v>1.1000000000000001</v>
      </c>
      <c r="AW20" s="597">
        <v>1.1000000000000001</v>
      </c>
      <c r="AX20" s="562">
        <v>1.3</v>
      </c>
      <c r="AY20" s="562">
        <v>4.1000000000000002E-2</v>
      </c>
      <c r="AZ20" s="562">
        <v>4.0999999999999996</v>
      </c>
      <c r="BA20" s="562">
        <v>1.3</v>
      </c>
      <c r="BB20" s="52">
        <v>3.8</v>
      </c>
      <c r="BC20" s="619">
        <f t="shared" si="3"/>
        <v>1.0024390243902441</v>
      </c>
      <c r="BD20" s="610">
        <f t="shared" si="4"/>
        <v>1.0315384615384617</v>
      </c>
      <c r="BF20" s="610" t="e">
        <f t="shared" si="5"/>
        <v>#VALUE!</v>
      </c>
      <c r="BG20" s="610">
        <f t="shared" si="6"/>
        <v>8.5483870967741928E-4</v>
      </c>
      <c r="BH20" s="610">
        <f t="shared" si="7"/>
        <v>0.20833333333333334</v>
      </c>
      <c r="BI20" s="610">
        <f t="shared" si="8"/>
        <v>1.1739130434782609E-3</v>
      </c>
      <c r="BJ20" s="610">
        <f t="shared" si="9"/>
        <v>0.20555555555555557</v>
      </c>
      <c r="BK20" s="610">
        <f t="shared" si="10"/>
        <v>3.5897435897435902E-3</v>
      </c>
      <c r="BL20" s="610">
        <f t="shared" si="11"/>
        <v>6.6666666666666671E-3</v>
      </c>
      <c r="BM20" s="610" t="e">
        <f t="shared" si="12"/>
        <v>#VALUE!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13.75</v>
      </c>
      <c r="BS20" s="564">
        <f t="shared" si="17"/>
        <v>6.837E-2</v>
      </c>
      <c r="BT20" s="564">
        <f t="shared" si="18"/>
        <v>6.7500000000000004E-2</v>
      </c>
      <c r="BU20" s="564">
        <f t="shared" si="19"/>
        <v>6.56</v>
      </c>
      <c r="BV20" s="564">
        <f t="shared" si="20"/>
        <v>1.3</v>
      </c>
      <c r="BW20" s="564">
        <f t="shared" si="21"/>
        <v>0.18380000000000002</v>
      </c>
      <c r="BX20" s="564">
        <f t="shared" si="0"/>
        <v>8.539999999999999E-2</v>
      </c>
      <c r="BY20" s="564">
        <f t="shared" si="22"/>
        <v>5.5199999999999999E-2</v>
      </c>
      <c r="BZ20" s="564">
        <f t="shared" si="23"/>
        <v>2.5049999999999998E-3</v>
      </c>
      <c r="CA20" s="564">
        <f t="shared" si="24"/>
        <v>22.072775</v>
      </c>
      <c r="CB20" s="611">
        <f t="shared" si="25"/>
        <v>0.93134071729957812</v>
      </c>
      <c r="CD20" s="610">
        <f t="shared" si="26"/>
        <v>0.7592592592592593</v>
      </c>
      <c r="CE20" s="610">
        <f t="shared" si="27"/>
        <v>0.92682926829268297</v>
      </c>
      <c r="CF20" s="610">
        <f t="shared" si="33"/>
        <v>0</v>
      </c>
      <c r="CG20" s="610">
        <f t="shared" si="34"/>
        <v>1.3410000000000002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25.171428571428571</v>
      </c>
      <c r="E21" s="541">
        <f t="shared" ref="E21:BB21" si="35">AVERAGE(E12:E18)</f>
        <v>5.9999999999999993E-3</v>
      </c>
      <c r="F21" s="541">
        <f t="shared" si="35"/>
        <v>4.5642857142857138E-2</v>
      </c>
      <c r="G21" s="540">
        <f t="shared" si="35"/>
        <v>9.3428571428571434</v>
      </c>
      <c r="H21" s="541">
        <f t="shared" si="35"/>
        <v>7.8714285714285723E-2</v>
      </c>
      <c r="I21" s="540">
        <f t="shared" si="35"/>
        <v>3.4014285714285717</v>
      </c>
      <c r="J21" s="541">
        <f t="shared" si="35"/>
        <v>0.14714285714285716</v>
      </c>
      <c r="K21" s="541">
        <f t="shared" si="35"/>
        <v>8.7428571428571425E-2</v>
      </c>
      <c r="L21" s="541">
        <f t="shared" si="35"/>
        <v>4.0142857142857147E-2</v>
      </c>
      <c r="M21" s="540">
        <f t="shared" si="35"/>
        <v>122.42857142857143</v>
      </c>
      <c r="N21" s="540">
        <f t="shared" si="35"/>
        <v>15.685714285714285</v>
      </c>
      <c r="O21" s="540">
        <f t="shared" si="35"/>
        <v>16.571428571428573</v>
      </c>
      <c r="P21" s="540">
        <f t="shared" si="35"/>
        <v>105.28571428571429</v>
      </c>
      <c r="Q21" s="540">
        <f t="shared" si="35"/>
        <v>36.428571428571431</v>
      </c>
      <c r="R21" s="540">
        <f t="shared" si="35"/>
        <v>4.5999999999999999E-3</v>
      </c>
      <c r="S21" s="540">
        <f t="shared" si="35"/>
        <v>0.91714285714285715</v>
      </c>
      <c r="T21" s="540">
        <f t="shared" si="35"/>
        <v>5.4857142857142858</v>
      </c>
      <c r="U21" s="540">
        <f t="shared" si="35"/>
        <v>0.40428571428571419</v>
      </c>
      <c r="V21" s="540">
        <f t="shared" si="35"/>
        <v>2.7428571428571433</v>
      </c>
      <c r="W21" s="540">
        <f t="shared" si="35"/>
        <v>38.428571428571431</v>
      </c>
      <c r="X21" s="540">
        <f t="shared" si="35"/>
        <v>3.3428571428571432E-2</v>
      </c>
      <c r="Y21" s="540">
        <f t="shared" si="35"/>
        <v>1.9899999999999998</v>
      </c>
      <c r="Z21" s="540">
        <f t="shared" si="35"/>
        <v>3.5</v>
      </c>
      <c r="AA21" s="540">
        <f t="shared" si="35"/>
        <v>21.142857142857142</v>
      </c>
      <c r="AB21" s="540">
        <f t="shared" si="35"/>
        <v>0.78142857142857136</v>
      </c>
      <c r="AC21" s="541">
        <f t="shared" si="35"/>
        <v>0.69714285714285729</v>
      </c>
      <c r="AD21" s="541">
        <f t="shared" si="35"/>
        <v>0.10442857142857143</v>
      </c>
      <c r="AE21" s="541">
        <f t="shared" si="35"/>
        <v>0.27857142857142858</v>
      </c>
      <c r="AF21" s="541">
        <f t="shared" si="35"/>
        <v>1.1071428571428572</v>
      </c>
      <c r="AG21" s="541">
        <f t="shared" si="35"/>
        <v>2.9999999999999996E-3</v>
      </c>
      <c r="AH21" s="541">
        <f t="shared" si="35"/>
        <v>3.8285714285714292</v>
      </c>
      <c r="AI21" s="541">
        <f t="shared" si="35"/>
        <v>0.10657142857142857</v>
      </c>
      <c r="AJ21" s="541">
        <f t="shared" si="35"/>
        <v>6.1571428571428562E-2</v>
      </c>
      <c r="AK21" s="541">
        <f t="shared" si="35"/>
        <v>5.9999999999999993E-3</v>
      </c>
      <c r="AL21" s="541">
        <f t="shared" si="35"/>
        <v>1.2885714285714284E-3</v>
      </c>
      <c r="AM21" s="541">
        <f t="shared" si="35"/>
        <v>8.2000000000000031E-2</v>
      </c>
      <c r="AN21" s="541">
        <f t="shared" si="35"/>
        <v>8.8571428571428579E-4</v>
      </c>
      <c r="AO21" s="541">
        <f t="shared" si="35"/>
        <v>9.1999999999999992E-4</v>
      </c>
      <c r="AP21" s="541">
        <f t="shared" si="35"/>
        <v>4.2</v>
      </c>
      <c r="AQ21" s="541" t="e">
        <f t="shared" si="35"/>
        <v>#DIV/0!</v>
      </c>
      <c r="AR21" s="540">
        <f t="shared" si="35"/>
        <v>1.95E-2</v>
      </c>
      <c r="AS21" s="540">
        <f t="shared" si="35"/>
        <v>1.5128571428571429</v>
      </c>
      <c r="AT21" s="540">
        <f t="shared" si="35"/>
        <v>1.0014285714285713</v>
      </c>
      <c r="AU21" s="540">
        <f t="shared" si="35"/>
        <v>0.69142857142857139</v>
      </c>
      <c r="AV21" s="540">
        <f t="shared" si="35"/>
        <v>1.2899999999999998</v>
      </c>
      <c r="AW21" s="540">
        <f t="shared" si="35"/>
        <v>1.3385714285714285</v>
      </c>
      <c r="AX21" s="540">
        <f t="shared" si="35"/>
        <v>1.42</v>
      </c>
      <c r="AY21" s="540">
        <f t="shared" si="35"/>
        <v>3.678571428571429E-2</v>
      </c>
      <c r="AZ21" s="540">
        <f t="shared" si="35"/>
        <v>4.5142857142857142</v>
      </c>
      <c r="BA21" s="540">
        <f t="shared" si="35"/>
        <v>1.4957142857142856</v>
      </c>
      <c r="BB21" s="540">
        <f t="shared" si="35"/>
        <v>4.2142857142857144</v>
      </c>
      <c r="CD21" s="691">
        <f>AVERAGE(CD12:CD18)</f>
        <v>0.75065716867655052</v>
      </c>
      <c r="CE21" s="691">
        <f>AVERAGE(CE12:CE18)</f>
        <v>0.93921328572837004</v>
      </c>
      <c r="CF21" s="691">
        <f>AVERAGE(CF12:CF18)</f>
        <v>4.8571428571428564E-2</v>
      </c>
      <c r="CG21" s="691">
        <f>AVERAGE(CG12:CG18)</f>
        <v>1.4567857142857144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21.05</v>
      </c>
      <c r="E22" s="545">
        <f t="shared" ref="E22:BB22" si="36">AVERAGE(E7:E20)</f>
        <v>5.9999999999999993E-3</v>
      </c>
      <c r="F22" s="545">
        <f t="shared" si="36"/>
        <v>5.2576923076923084E-2</v>
      </c>
      <c r="G22" s="544">
        <f t="shared" si="36"/>
        <v>7.234285714285714</v>
      </c>
      <c r="H22" s="545">
        <f t="shared" si="36"/>
        <v>7.1615384615384622E-2</v>
      </c>
      <c r="I22" s="544">
        <f t="shared" si="36"/>
        <v>2.6121428571428575</v>
      </c>
      <c r="J22" s="545">
        <f t="shared" si="36"/>
        <v>0.15785714285714289</v>
      </c>
      <c r="K22" s="545">
        <f t="shared" si="36"/>
        <v>8.6846153846153823E-2</v>
      </c>
      <c r="L22" s="545">
        <f t="shared" si="36"/>
        <v>4.7333333333333324E-2</v>
      </c>
      <c r="M22" s="544">
        <f t="shared" si="36"/>
        <v>116.78571428571429</v>
      </c>
      <c r="N22" s="544">
        <f t="shared" si="36"/>
        <v>15.983333333333334</v>
      </c>
      <c r="O22" s="544">
        <f t="shared" si="36"/>
        <v>18.642857142857142</v>
      </c>
      <c r="P22" s="544">
        <f t="shared" si="36"/>
        <v>100.21428571428571</v>
      </c>
      <c r="Q22" s="544">
        <f t="shared" si="36"/>
        <v>45.53846153846154</v>
      </c>
      <c r="R22" s="544">
        <f t="shared" si="36"/>
        <v>4.5999999999999999E-3</v>
      </c>
      <c r="S22" s="544">
        <f t="shared" si="36"/>
        <v>0.94923076923076921</v>
      </c>
      <c r="T22" s="544">
        <f t="shared" si="36"/>
        <v>4.7671428571428569</v>
      </c>
      <c r="U22" s="544">
        <f t="shared" si="36"/>
        <v>0.57199999999999984</v>
      </c>
      <c r="V22" s="544">
        <f t="shared" si="36"/>
        <v>2.6150000000000007</v>
      </c>
      <c r="W22" s="544">
        <f t="shared" si="36"/>
        <v>36.071428571428569</v>
      </c>
      <c r="X22" s="544">
        <f t="shared" si="36"/>
        <v>3.0099999999999995E-2</v>
      </c>
      <c r="Y22" s="544">
        <f t="shared" si="36"/>
        <v>1.6892857142857143</v>
      </c>
      <c r="Z22" s="544">
        <f t="shared" si="36"/>
        <v>3.3142857142857145</v>
      </c>
      <c r="AA22" s="544">
        <f t="shared" si="36"/>
        <v>24.221428571428572</v>
      </c>
      <c r="AB22" s="544">
        <f t="shared" si="36"/>
        <v>0.73207692307692318</v>
      </c>
      <c r="AC22" s="545">
        <f t="shared" si="36"/>
        <v>0.69416666666666671</v>
      </c>
      <c r="AD22" s="545">
        <f t="shared" si="36"/>
        <v>0.10983333333333332</v>
      </c>
      <c r="AE22" s="545">
        <f t="shared" si="36"/>
        <v>0.30000000000000004</v>
      </c>
      <c r="AF22" s="545">
        <f t="shared" si="36"/>
        <v>0.90071428571428558</v>
      </c>
      <c r="AG22" s="545">
        <f t="shared" si="36"/>
        <v>2.9999999999999996E-3</v>
      </c>
      <c r="AH22" s="545">
        <f t="shared" si="36"/>
        <v>3.528571428571428</v>
      </c>
      <c r="AI22" s="545">
        <f t="shared" si="36"/>
        <v>7.369230769230771E-2</v>
      </c>
      <c r="AJ22" s="545">
        <f t="shared" si="36"/>
        <v>5.7142857142857148E-2</v>
      </c>
      <c r="AK22" s="545">
        <f t="shared" si="36"/>
        <v>5.9999999999999993E-3</v>
      </c>
      <c r="AL22" s="545">
        <f t="shared" si="36"/>
        <v>1.3541666666666667E-3</v>
      </c>
      <c r="AM22" s="545">
        <f t="shared" si="36"/>
        <v>7.9461538461538472E-2</v>
      </c>
      <c r="AN22" s="545">
        <f t="shared" si="36"/>
        <v>8.8571428571428579E-4</v>
      </c>
      <c r="AO22" s="545">
        <f t="shared" si="36"/>
        <v>1.0266666666666664E-3</v>
      </c>
      <c r="AP22" s="545">
        <f t="shared" si="36"/>
        <v>3.632857142857143</v>
      </c>
      <c r="AQ22" s="545" t="e">
        <f t="shared" si="36"/>
        <v>#DIV/0!</v>
      </c>
      <c r="AR22" s="544">
        <f t="shared" si="36"/>
        <v>1.95E-2</v>
      </c>
      <c r="AS22" s="544">
        <f t="shared" si="36"/>
        <v>1.4571428571428573</v>
      </c>
      <c r="AT22" s="544">
        <f t="shared" si="36"/>
        <v>1.0514285714285716</v>
      </c>
      <c r="AU22" s="544">
        <f t="shared" si="36"/>
        <v>0.72857142857142854</v>
      </c>
      <c r="AV22" s="544">
        <f t="shared" si="36"/>
        <v>1.227857142857143</v>
      </c>
      <c r="AW22" s="544">
        <f t="shared" si="36"/>
        <v>1.2557142857142858</v>
      </c>
      <c r="AX22" s="544">
        <f t="shared" si="36"/>
        <v>1.1678571428571429</v>
      </c>
      <c r="AY22" s="544">
        <f t="shared" si="36"/>
        <v>3.9227272727272722E-2</v>
      </c>
      <c r="AZ22" s="544">
        <f t="shared" si="36"/>
        <v>4.4714285714285715</v>
      </c>
      <c r="BA22" s="544">
        <f t="shared" si="36"/>
        <v>1.2192857142857143</v>
      </c>
      <c r="BB22" s="544">
        <f t="shared" si="36"/>
        <v>3.9785714285714282</v>
      </c>
      <c r="CD22" s="691">
        <f>AVERAGE(CD7:CD20)</f>
        <v>0.7858859095587688</v>
      </c>
      <c r="CE22" s="691">
        <f>AVERAGE(CE7:CE20)</f>
        <v>0.88937400890280904</v>
      </c>
      <c r="CF22" s="691">
        <f>AVERAGE(CF7:CF20)</f>
        <v>3.1428571428571417E-2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30">
        <v>1.2E-2</v>
      </c>
      <c r="F23" s="29">
        <v>3.1E-2</v>
      </c>
      <c r="G23" s="29">
        <v>3.9E-2</v>
      </c>
      <c r="H23" s="30">
        <v>6.3E-3</v>
      </c>
      <c r="I23" s="29">
        <v>3.7999999999999999E-2</v>
      </c>
      <c r="J23" s="29">
        <v>6.8999999999999999E-3</v>
      </c>
      <c r="K23" s="29">
        <v>1.4999999999999999E-2</v>
      </c>
      <c r="L23" s="26">
        <v>3.5000000000000003E-2</v>
      </c>
      <c r="M23" s="30" t="s">
        <v>349</v>
      </c>
      <c r="N23" s="29" t="s">
        <v>402</v>
      </c>
      <c r="O23" s="29" t="s">
        <v>353</v>
      </c>
      <c r="P23" s="29" t="s">
        <v>353</v>
      </c>
      <c r="Q23" s="29" t="s">
        <v>360</v>
      </c>
      <c r="R23" s="29" t="s">
        <v>403</v>
      </c>
      <c r="S23" s="29" t="s">
        <v>341</v>
      </c>
      <c r="T23" s="29" t="s">
        <v>377</v>
      </c>
      <c r="U23" s="29" t="s">
        <v>401</v>
      </c>
      <c r="V23" s="29" t="s">
        <v>382</v>
      </c>
      <c r="W23" s="29" t="s">
        <v>387</v>
      </c>
      <c r="X23" s="29" t="s">
        <v>413</v>
      </c>
      <c r="Y23" s="29" t="s">
        <v>356</v>
      </c>
      <c r="Z23" s="29" t="s">
        <v>405</v>
      </c>
      <c r="AA23" s="29" t="s">
        <v>406</v>
      </c>
      <c r="AB23" s="29" t="s">
        <v>407</v>
      </c>
      <c r="AC23" s="29" t="s">
        <v>334</v>
      </c>
      <c r="AD23" s="29" t="s">
        <v>331</v>
      </c>
      <c r="AE23" s="29" t="s">
        <v>356</v>
      </c>
      <c r="AF23" s="29" t="s">
        <v>411</v>
      </c>
      <c r="AG23" s="29" t="s">
        <v>409</v>
      </c>
      <c r="AH23" s="29" t="s">
        <v>410</v>
      </c>
      <c r="AI23" s="29" t="s">
        <v>362</v>
      </c>
      <c r="AJ23" s="29" t="s">
        <v>411</v>
      </c>
      <c r="AK23" s="29" t="s">
        <v>411</v>
      </c>
      <c r="AL23" s="27" t="s">
        <v>412</v>
      </c>
      <c r="AM23" s="58" t="s">
        <v>411</v>
      </c>
      <c r="AN23" s="58" t="s">
        <v>413</v>
      </c>
      <c r="AO23" s="58" t="s">
        <v>414</v>
      </c>
      <c r="AP23" s="59" t="s">
        <v>415</v>
      </c>
      <c r="AQ23" s="60"/>
      <c r="AR23" s="28" t="s">
        <v>359</v>
      </c>
      <c r="AS23" s="30" t="s">
        <v>444</v>
      </c>
      <c r="AT23" s="30" t="s">
        <v>445</v>
      </c>
      <c r="AU23" s="30" t="s">
        <v>386</v>
      </c>
      <c r="AV23" s="30" t="s">
        <v>446</v>
      </c>
      <c r="AW23" s="29" t="s">
        <v>386</v>
      </c>
      <c r="AX23" s="27" t="s">
        <v>374</v>
      </c>
      <c r="AY23" s="27" t="s">
        <v>447</v>
      </c>
      <c r="AZ23" s="27"/>
      <c r="BA23" s="27"/>
      <c r="BB23" s="26"/>
    </row>
    <row r="24" spans="2:85" ht="20.149999999999999" customHeight="1" x14ac:dyDescent="0.2">
      <c r="B24" s="692" t="s">
        <v>95</v>
      </c>
      <c r="C24" s="693"/>
      <c r="D24" s="61"/>
      <c r="E24" s="56">
        <v>4.1000000000000002E-2</v>
      </c>
      <c r="F24" s="55">
        <v>0.1</v>
      </c>
      <c r="G24" s="55">
        <v>0.13</v>
      </c>
      <c r="H24" s="56">
        <v>2.1000000000000001E-2</v>
      </c>
      <c r="I24" s="55">
        <v>0.13</v>
      </c>
      <c r="J24" s="55">
        <v>2.3E-2</v>
      </c>
      <c r="K24" s="55">
        <v>0.05</v>
      </c>
      <c r="L24" s="52">
        <v>0.12</v>
      </c>
      <c r="M24" s="56" t="s">
        <v>395</v>
      </c>
      <c r="N24" s="55" t="s">
        <v>365</v>
      </c>
      <c r="O24" s="55" t="s">
        <v>448</v>
      </c>
      <c r="P24" s="55" t="s">
        <v>449</v>
      </c>
      <c r="Q24" s="55" t="s">
        <v>450</v>
      </c>
      <c r="R24" s="55" t="s">
        <v>345</v>
      </c>
      <c r="S24" s="55" t="s">
        <v>358</v>
      </c>
      <c r="T24" s="55" t="s">
        <v>420</v>
      </c>
      <c r="U24" s="55" t="s">
        <v>354</v>
      </c>
      <c r="V24" s="55" t="s">
        <v>356</v>
      </c>
      <c r="W24" s="55" t="s">
        <v>389</v>
      </c>
      <c r="X24" s="55" t="s">
        <v>451</v>
      </c>
      <c r="Y24" s="55" t="s">
        <v>341</v>
      </c>
      <c r="Z24" s="55" t="s">
        <v>421</v>
      </c>
      <c r="AA24" s="55" t="s">
        <v>326</v>
      </c>
      <c r="AB24" s="55" t="s">
        <v>422</v>
      </c>
      <c r="AC24" s="55" t="s">
        <v>423</v>
      </c>
      <c r="AD24" s="55" t="s">
        <v>369</v>
      </c>
      <c r="AE24" s="55" t="s">
        <v>366</v>
      </c>
      <c r="AF24" s="55" t="s">
        <v>425</v>
      </c>
      <c r="AG24" s="55" t="s">
        <v>375</v>
      </c>
      <c r="AH24" s="55" t="s">
        <v>424</v>
      </c>
      <c r="AI24" s="55" t="s">
        <v>382</v>
      </c>
      <c r="AJ24" s="55" t="s">
        <v>391</v>
      </c>
      <c r="AK24" s="55" t="s">
        <v>425</v>
      </c>
      <c r="AL24" s="53" t="s">
        <v>426</v>
      </c>
      <c r="AM24" s="53" t="s">
        <v>383</v>
      </c>
      <c r="AN24" s="53" t="s">
        <v>428</v>
      </c>
      <c r="AO24" s="53" t="s">
        <v>429</v>
      </c>
      <c r="AP24" s="55" t="s">
        <v>393</v>
      </c>
      <c r="AQ24" s="52"/>
      <c r="AR24" s="54" t="s">
        <v>343</v>
      </c>
      <c r="AS24" s="56" t="s">
        <v>368</v>
      </c>
      <c r="AT24" s="56" t="s">
        <v>452</v>
      </c>
      <c r="AU24" s="56" t="s">
        <v>396</v>
      </c>
      <c r="AV24" s="56" t="s">
        <v>453</v>
      </c>
      <c r="AW24" s="55" t="s">
        <v>424</v>
      </c>
      <c r="AX24" s="53" t="s">
        <v>381</v>
      </c>
      <c r="AY24" s="53" t="s">
        <v>445</v>
      </c>
      <c r="AZ24" s="53"/>
      <c r="BA24" s="53"/>
      <c r="BB24" s="5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27" priority="6" stopIfTrue="1" operator="notBetween">
      <formula>0.8</formula>
      <formula>1.2</formula>
    </cfRule>
  </conditionalFormatting>
  <conditionalFormatting sqref="BC7:BD20">
    <cfRule type="cellIs" dxfId="26" priority="5" stopIfTrue="1" operator="notBetween">
      <formula>0.9</formula>
      <formula>1.1</formula>
    </cfRule>
  </conditionalFormatting>
  <conditionalFormatting sqref="BP7:BP20">
    <cfRule type="cellIs" dxfId="25" priority="3" stopIfTrue="1" operator="notBetween">
      <formula>0.8</formula>
      <formula>1.2</formula>
    </cfRule>
  </conditionalFormatting>
  <conditionalFormatting sqref="CF7:CF20">
    <cfRule type="cellIs" dxfId="24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8" scale="3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zoomScaleSheetLayoutView="55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321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558">
        <v>3.5</v>
      </c>
      <c r="E7" s="28" t="s">
        <v>298</v>
      </c>
      <c r="F7" s="29" t="s">
        <v>323</v>
      </c>
      <c r="G7" s="29">
        <v>0.37</v>
      </c>
      <c r="H7" s="30" t="s">
        <v>324</v>
      </c>
      <c r="I7" s="29">
        <v>6.2E-2</v>
      </c>
      <c r="J7" s="29">
        <v>0.19</v>
      </c>
      <c r="K7" s="29">
        <v>7.9000000000000001E-2</v>
      </c>
      <c r="L7" s="26">
        <v>0.05</v>
      </c>
      <c r="M7" s="28" t="s">
        <v>325</v>
      </c>
      <c r="N7" s="589">
        <v>27</v>
      </c>
      <c r="O7" s="589">
        <v>51</v>
      </c>
      <c r="P7" s="29" t="s">
        <v>327</v>
      </c>
      <c r="Q7" s="589">
        <v>15</v>
      </c>
      <c r="R7" s="29" t="s">
        <v>328</v>
      </c>
      <c r="S7" s="589">
        <v>1.6</v>
      </c>
      <c r="T7" s="589">
        <v>0.16</v>
      </c>
      <c r="U7" s="29" t="s">
        <v>330</v>
      </c>
      <c r="V7" s="589">
        <v>0.74</v>
      </c>
      <c r="W7" s="589">
        <v>16</v>
      </c>
      <c r="X7" s="589">
        <v>1.4E-2</v>
      </c>
      <c r="Y7" s="589">
        <v>0.33</v>
      </c>
      <c r="Z7" s="589">
        <v>0.28999999999999998</v>
      </c>
      <c r="AA7" s="29" t="s">
        <v>332</v>
      </c>
      <c r="AB7" s="29" t="s">
        <v>222</v>
      </c>
      <c r="AC7" s="29" t="s">
        <v>230</v>
      </c>
      <c r="AD7" s="29" t="s">
        <v>333</v>
      </c>
      <c r="AE7" s="29" t="s">
        <v>66</v>
      </c>
      <c r="AF7" s="589">
        <v>2.1999999999999999E-2</v>
      </c>
      <c r="AG7" s="29" t="s">
        <v>335</v>
      </c>
      <c r="AH7" s="589">
        <v>0.61</v>
      </c>
      <c r="AI7" s="29" t="s">
        <v>336</v>
      </c>
      <c r="AJ7" s="29" t="s">
        <v>298</v>
      </c>
      <c r="AK7" s="29" t="s">
        <v>298</v>
      </c>
      <c r="AL7" s="27" t="s">
        <v>337</v>
      </c>
      <c r="AM7" s="27" t="s">
        <v>77</v>
      </c>
      <c r="AN7" s="27" t="s">
        <v>338</v>
      </c>
      <c r="AO7" s="27" t="s">
        <v>339</v>
      </c>
      <c r="AP7" s="589">
        <v>9.0999999999999998E-2</v>
      </c>
      <c r="AQ7" s="26"/>
      <c r="AR7" s="28" t="s">
        <v>340</v>
      </c>
      <c r="AS7" s="590">
        <v>0.4</v>
      </c>
      <c r="AT7" s="590">
        <v>0.28000000000000003</v>
      </c>
      <c r="AU7" s="590">
        <v>0.16</v>
      </c>
      <c r="AV7" s="590">
        <v>0.15</v>
      </c>
      <c r="AW7" s="589">
        <v>0.13</v>
      </c>
      <c r="AX7" s="558">
        <v>0.17</v>
      </c>
      <c r="AY7" s="558">
        <v>0.03</v>
      </c>
      <c r="AZ7" s="558">
        <v>0.99</v>
      </c>
      <c r="BA7" s="558">
        <v>0.18</v>
      </c>
      <c r="BB7" s="26">
        <v>0.94</v>
      </c>
      <c r="BC7" s="619">
        <f>SUM(AR7:AV7)/AZ7</f>
        <v>1.0000000000000002</v>
      </c>
      <c r="BD7" s="610">
        <f>(SUM(AW7:AY7)-AV7)/BA7</f>
        <v>1.0000000000000004</v>
      </c>
      <c r="BF7" s="610" t="e">
        <f>E7/35.5</f>
        <v>#VALUE!</v>
      </c>
      <c r="BG7" s="610" t="e">
        <f>F7/62</f>
        <v>#VALUE!</v>
      </c>
      <c r="BH7" s="610">
        <f>G7/(96/2)</f>
        <v>7.7083333333333335E-3</v>
      </c>
      <c r="BI7" s="610" t="e">
        <f>H7/23</f>
        <v>#VALUE!</v>
      </c>
      <c r="BJ7" s="610">
        <f>I7/18</f>
        <v>3.4444444444444444E-3</v>
      </c>
      <c r="BK7" s="610">
        <f>J7/39</f>
        <v>4.871794871794872E-3</v>
      </c>
      <c r="BL7" s="610">
        <f>K7/(24.3/2)</f>
        <v>6.5020576131687245E-3</v>
      </c>
      <c r="BM7" s="610">
        <f>L7/(40/2)</f>
        <v>2.5000000000000001E-3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0.50875000000000004</v>
      </c>
      <c r="BS7" s="564" t="e">
        <f>1.29*F7</f>
        <v>#VALUE!</v>
      </c>
      <c r="BT7" s="564" t="e">
        <f>2.5*H7</f>
        <v>#VALUE!</v>
      </c>
      <c r="BU7" s="564">
        <f>1.6*AZ7</f>
        <v>1.5840000000000001</v>
      </c>
      <c r="BV7" s="564">
        <f>BA7</f>
        <v>0.18</v>
      </c>
      <c r="BW7" s="564">
        <f>9.19/1000*N7</f>
        <v>0.24813000000000002</v>
      </c>
      <c r="BX7" s="564">
        <f t="shared" ref="BX7:BX20" si="0">Q7/1000*1.4</f>
        <v>2.0999999999999998E-2</v>
      </c>
      <c r="BY7" s="564">
        <f>W7/1000*1.38</f>
        <v>2.2079999999999999E-2</v>
      </c>
      <c r="BZ7" s="564">
        <f>S7/1000*1.67</f>
        <v>2.6719999999999999E-3</v>
      </c>
      <c r="CA7" s="564" t="e">
        <f>SUM(BR7:BZ7)</f>
        <v>#VALUE!</v>
      </c>
      <c r="CB7" s="611" t="e">
        <f>CA7/D7</f>
        <v>#VALUE!</v>
      </c>
      <c r="CD7" s="610">
        <f>AZ7/(AZ7+BA7)</f>
        <v>0.84615384615384615</v>
      </c>
      <c r="CE7" s="610">
        <f>BB7/AZ7</f>
        <v>0.9494949494949495</v>
      </c>
      <c r="CF7" s="610">
        <f t="shared" ref="CF7:CF12" si="1">IF(AW7-AV7&gt;0,AW7-AV7,0)</f>
        <v>0</v>
      </c>
      <c r="CG7" s="610">
        <f t="shared" ref="CG7:CG12" si="2">IF(AW7-AV7&gt;0,AX7+AY7,AW7+AX7+AY7-AV7)</f>
        <v>0.18000000000000008</v>
      </c>
    </row>
    <row r="8" spans="2:85" ht="20.149999999999999" customHeight="1" x14ac:dyDescent="0.2">
      <c r="B8" s="31" t="s">
        <v>61</v>
      </c>
      <c r="C8" s="32" t="s">
        <v>199</v>
      </c>
      <c r="D8" s="559">
        <v>3.8</v>
      </c>
      <c r="E8" s="34" t="s">
        <v>298</v>
      </c>
      <c r="F8" s="35">
        <v>3.5999999999999997E-2</v>
      </c>
      <c r="G8" s="35">
        <v>0.52</v>
      </c>
      <c r="H8" s="36" t="s">
        <v>324</v>
      </c>
      <c r="I8" s="35">
        <v>0.18</v>
      </c>
      <c r="J8" s="35">
        <v>0.14000000000000001</v>
      </c>
      <c r="K8" s="35">
        <v>8.7999999999999995E-2</v>
      </c>
      <c r="L8" s="32" t="s">
        <v>74</v>
      </c>
      <c r="M8" s="34" t="s">
        <v>325</v>
      </c>
      <c r="N8" s="591">
        <v>16</v>
      </c>
      <c r="O8" s="591">
        <v>3.1</v>
      </c>
      <c r="P8" s="591">
        <v>30</v>
      </c>
      <c r="Q8" s="35" t="s">
        <v>233</v>
      </c>
      <c r="R8" s="35" t="s">
        <v>328</v>
      </c>
      <c r="S8" s="591">
        <v>0.74</v>
      </c>
      <c r="T8" s="591">
        <v>0.3</v>
      </c>
      <c r="U8" s="35" t="s">
        <v>330</v>
      </c>
      <c r="V8" s="591">
        <v>0.4</v>
      </c>
      <c r="W8" s="35" t="s">
        <v>347</v>
      </c>
      <c r="X8" s="35" t="s">
        <v>348</v>
      </c>
      <c r="Y8" s="35" t="s">
        <v>217</v>
      </c>
      <c r="Z8" s="591">
        <v>0.87</v>
      </c>
      <c r="AA8" s="591">
        <v>14</v>
      </c>
      <c r="AB8" s="35" t="s">
        <v>222</v>
      </c>
      <c r="AC8" s="35" t="s">
        <v>230</v>
      </c>
      <c r="AD8" s="35" t="s">
        <v>333</v>
      </c>
      <c r="AE8" s="35" t="s">
        <v>66</v>
      </c>
      <c r="AF8" s="591">
        <v>0.18</v>
      </c>
      <c r="AG8" s="35" t="s">
        <v>335</v>
      </c>
      <c r="AH8" s="591">
        <v>2.1</v>
      </c>
      <c r="AI8" s="35" t="s">
        <v>336</v>
      </c>
      <c r="AJ8" s="35" t="s">
        <v>298</v>
      </c>
      <c r="AK8" s="35" t="s">
        <v>298</v>
      </c>
      <c r="AL8" s="33" t="s">
        <v>337</v>
      </c>
      <c r="AM8" s="33" t="s">
        <v>77</v>
      </c>
      <c r="AN8" s="33" t="s">
        <v>338</v>
      </c>
      <c r="AO8" s="33" t="s">
        <v>339</v>
      </c>
      <c r="AP8" s="591">
        <v>0.69</v>
      </c>
      <c r="AQ8" s="32"/>
      <c r="AR8" s="34" t="s">
        <v>340</v>
      </c>
      <c r="AS8" s="592">
        <v>0.51</v>
      </c>
      <c r="AT8" s="592">
        <v>0.54</v>
      </c>
      <c r="AU8" s="592">
        <v>0.3</v>
      </c>
      <c r="AV8" s="592">
        <v>0.15</v>
      </c>
      <c r="AW8" s="591">
        <v>0.25</v>
      </c>
      <c r="AX8" s="559">
        <v>0.35</v>
      </c>
      <c r="AY8" s="559">
        <v>2.8000000000000001E-2</v>
      </c>
      <c r="AZ8" s="559">
        <v>1.5</v>
      </c>
      <c r="BA8" s="559">
        <v>0.48</v>
      </c>
      <c r="BB8" s="32">
        <v>1.5</v>
      </c>
      <c r="BC8" s="619">
        <f t="shared" ref="BC8:BC20" si="3">SUM(AR8:AV8)/AZ8</f>
        <v>1</v>
      </c>
      <c r="BD8" s="610">
        <f t="shared" ref="BD8:BD20" si="4">(SUM(AW8:AY8)-AV8)/BA8</f>
        <v>0.99583333333333335</v>
      </c>
      <c r="BF8" s="610" t="e">
        <f t="shared" ref="BF8:BF20" si="5">E8/35.5</f>
        <v>#VALUE!</v>
      </c>
      <c r="BG8" s="610">
        <f t="shared" ref="BG8:BG20" si="6">F8/62</f>
        <v>5.8064516129032254E-4</v>
      </c>
      <c r="BH8" s="610">
        <f t="shared" ref="BH8:BH20" si="7">G8/(96/2)</f>
        <v>1.0833333333333334E-2</v>
      </c>
      <c r="BI8" s="610" t="e">
        <f t="shared" ref="BI8:BI20" si="8">H8/23</f>
        <v>#VALUE!</v>
      </c>
      <c r="BJ8" s="610">
        <f t="shared" ref="BJ8:BJ20" si="9">I8/18</f>
        <v>0.01</v>
      </c>
      <c r="BK8" s="610">
        <f t="shared" ref="BK8:BK20" si="10">J8/39</f>
        <v>3.5897435897435902E-3</v>
      </c>
      <c r="BL8" s="610">
        <f t="shared" ref="BL8:BL20" si="11">K8/(24.3/2)</f>
        <v>7.2427983539094642E-3</v>
      </c>
      <c r="BM8" s="610" t="e">
        <f t="shared" ref="BM8:BM20" si="12">L8/(40/2)</f>
        <v>#VALUE!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0.71500000000000008</v>
      </c>
      <c r="BS8" s="564">
        <f t="shared" ref="BS8:BS20" si="17">1.29*F8</f>
        <v>4.6439999999999995E-2</v>
      </c>
      <c r="BT8" s="564" t="e">
        <f t="shared" ref="BT8:BT20" si="18">2.5*H8</f>
        <v>#VALUE!</v>
      </c>
      <c r="BU8" s="564">
        <f t="shared" ref="BU8:BU20" si="19">1.6*AZ8</f>
        <v>2.4000000000000004</v>
      </c>
      <c r="BV8" s="564">
        <f t="shared" ref="BV8:BV20" si="20">BA8</f>
        <v>0.48</v>
      </c>
      <c r="BW8" s="564">
        <f t="shared" ref="BW8:BW20" si="21">9.19/1000*N8</f>
        <v>0.14704</v>
      </c>
      <c r="BX8" s="564" t="e">
        <f t="shared" si="0"/>
        <v>#VALUE!</v>
      </c>
      <c r="BY8" s="564" t="e">
        <f t="shared" ref="BY8:BY20" si="22">W8/1000*1.38</f>
        <v>#VALUE!</v>
      </c>
      <c r="BZ8" s="564">
        <f t="shared" ref="BZ8:BZ20" si="23">S8/1000*1.67</f>
        <v>1.2358E-3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0.75757575757575757</v>
      </c>
      <c r="CE8" s="610">
        <f t="shared" ref="CE8:CE20" si="27">BB8/AZ8</f>
        <v>1</v>
      </c>
      <c r="CF8" s="610">
        <f t="shared" si="1"/>
        <v>0.1</v>
      </c>
      <c r="CG8" s="610">
        <f t="shared" si="2"/>
        <v>0.378</v>
      </c>
    </row>
    <row r="9" spans="2:85" ht="20.149999999999999" customHeight="1" x14ac:dyDescent="0.2">
      <c r="B9" s="31" t="s">
        <v>61</v>
      </c>
      <c r="C9" s="37" t="s">
        <v>200</v>
      </c>
      <c r="D9" s="559">
        <v>17.8</v>
      </c>
      <c r="E9" s="34" t="s">
        <v>298</v>
      </c>
      <c r="F9" s="35">
        <v>3.2000000000000001E-2</v>
      </c>
      <c r="G9" s="35">
        <v>6.5</v>
      </c>
      <c r="H9" s="36" t="s">
        <v>324</v>
      </c>
      <c r="I9" s="35">
        <v>2.2999999999999998</v>
      </c>
      <c r="J9" s="35">
        <v>0.2</v>
      </c>
      <c r="K9" s="35">
        <v>9.1999999999999998E-2</v>
      </c>
      <c r="L9" s="32" t="s">
        <v>74</v>
      </c>
      <c r="M9" s="599">
        <v>24</v>
      </c>
      <c r="N9" s="591">
        <v>15</v>
      </c>
      <c r="O9" s="591">
        <v>12</v>
      </c>
      <c r="P9" s="591">
        <v>76</v>
      </c>
      <c r="Q9" s="35" t="s">
        <v>233</v>
      </c>
      <c r="R9" s="35" t="s">
        <v>328</v>
      </c>
      <c r="S9" s="591">
        <v>0.75</v>
      </c>
      <c r="T9" s="591">
        <v>1.2</v>
      </c>
      <c r="U9" s="35" t="s">
        <v>330</v>
      </c>
      <c r="V9" s="591">
        <v>1.8</v>
      </c>
      <c r="W9" s="591">
        <v>17</v>
      </c>
      <c r="X9" s="591">
        <v>8.3000000000000001E-3</v>
      </c>
      <c r="Y9" s="591">
        <v>0.4</v>
      </c>
      <c r="Z9" s="591">
        <v>2.1</v>
      </c>
      <c r="AA9" s="591">
        <v>24</v>
      </c>
      <c r="AB9" s="591">
        <v>0.14000000000000001</v>
      </c>
      <c r="AC9" s="591">
        <v>0.12</v>
      </c>
      <c r="AD9" s="35" t="s">
        <v>333</v>
      </c>
      <c r="AE9" s="591">
        <v>0.14000000000000001</v>
      </c>
      <c r="AF9" s="591">
        <v>0.46</v>
      </c>
      <c r="AG9" s="35" t="s">
        <v>335</v>
      </c>
      <c r="AH9" s="591">
        <v>4.7</v>
      </c>
      <c r="AI9" s="591">
        <v>1.4E-2</v>
      </c>
      <c r="AJ9" s="591">
        <v>2.1999999999999999E-2</v>
      </c>
      <c r="AK9" s="35" t="s">
        <v>298</v>
      </c>
      <c r="AL9" s="33" t="s">
        <v>337</v>
      </c>
      <c r="AM9" s="33" t="s">
        <v>77</v>
      </c>
      <c r="AN9" s="33" t="s">
        <v>338</v>
      </c>
      <c r="AO9" s="33" t="s">
        <v>339</v>
      </c>
      <c r="AP9" s="591">
        <v>2.1</v>
      </c>
      <c r="AQ9" s="32"/>
      <c r="AR9" s="34" t="s">
        <v>340</v>
      </c>
      <c r="AS9" s="592">
        <v>1.1000000000000001</v>
      </c>
      <c r="AT9" s="592">
        <v>0.75</v>
      </c>
      <c r="AU9" s="592">
        <v>0.48</v>
      </c>
      <c r="AV9" s="592">
        <v>0.77</v>
      </c>
      <c r="AW9" s="591">
        <v>0.77</v>
      </c>
      <c r="AX9" s="559">
        <v>1.3</v>
      </c>
      <c r="AY9" s="559">
        <v>3.9E-2</v>
      </c>
      <c r="AZ9" s="559">
        <v>3.1</v>
      </c>
      <c r="BA9" s="559">
        <v>1.3</v>
      </c>
      <c r="BB9" s="32">
        <v>3.5</v>
      </c>
      <c r="BC9" s="619">
        <f t="shared" si="3"/>
        <v>1</v>
      </c>
      <c r="BD9" s="610">
        <f t="shared" si="4"/>
        <v>1.0300000000000002</v>
      </c>
      <c r="BF9" s="610" t="e">
        <f t="shared" si="5"/>
        <v>#VALUE!</v>
      </c>
      <c r="BG9" s="610">
        <f t="shared" si="6"/>
        <v>5.1612903225806454E-4</v>
      </c>
      <c r="BH9" s="610">
        <f t="shared" si="7"/>
        <v>0.13541666666666666</v>
      </c>
      <c r="BI9" s="610" t="e">
        <f t="shared" si="8"/>
        <v>#VALUE!</v>
      </c>
      <c r="BJ9" s="610">
        <f t="shared" si="9"/>
        <v>0.12777777777777777</v>
      </c>
      <c r="BK9" s="610">
        <f t="shared" si="10"/>
        <v>5.1282051282051282E-3</v>
      </c>
      <c r="BL9" s="610">
        <f t="shared" si="11"/>
        <v>7.5720164609053495E-3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8.9375</v>
      </c>
      <c r="BS9" s="564">
        <f t="shared" si="17"/>
        <v>4.1280000000000004E-2</v>
      </c>
      <c r="BT9" s="564" t="e">
        <f t="shared" si="18"/>
        <v>#VALUE!</v>
      </c>
      <c r="BU9" s="564">
        <f t="shared" si="19"/>
        <v>4.9600000000000009</v>
      </c>
      <c r="BV9" s="564">
        <f t="shared" si="20"/>
        <v>1.3</v>
      </c>
      <c r="BW9" s="564">
        <f t="shared" si="21"/>
        <v>0.13785</v>
      </c>
      <c r="BX9" s="564" t="e">
        <f t="shared" si="0"/>
        <v>#VALUE!</v>
      </c>
      <c r="BY9" s="564">
        <f t="shared" si="22"/>
        <v>2.3459999999999998E-2</v>
      </c>
      <c r="BZ9" s="564">
        <f t="shared" si="23"/>
        <v>1.2524999999999999E-3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0.70454545454545447</v>
      </c>
      <c r="CE9" s="610">
        <f t="shared" si="27"/>
        <v>1.129032258064516</v>
      </c>
      <c r="CF9" s="610">
        <f t="shared" si="1"/>
        <v>0</v>
      </c>
      <c r="CG9" s="610">
        <f t="shared" si="2"/>
        <v>1.3390000000000004</v>
      </c>
    </row>
    <row r="10" spans="2:85" ht="20.149999999999999" customHeight="1" x14ac:dyDescent="0.2">
      <c r="B10" s="31" t="s">
        <v>61</v>
      </c>
      <c r="C10" s="32" t="s">
        <v>82</v>
      </c>
      <c r="D10" s="559">
        <v>14.8</v>
      </c>
      <c r="E10" s="34" t="s">
        <v>298</v>
      </c>
      <c r="F10" s="35">
        <v>5.5E-2</v>
      </c>
      <c r="G10" s="35">
        <v>2.8</v>
      </c>
      <c r="H10" s="36">
        <v>1.7000000000000001E-2</v>
      </c>
      <c r="I10" s="35">
        <v>1</v>
      </c>
      <c r="J10" s="35">
        <v>0.18</v>
      </c>
      <c r="K10" s="35">
        <v>8.6999999999999994E-2</v>
      </c>
      <c r="L10" s="32" t="s">
        <v>74</v>
      </c>
      <c r="M10" s="599">
        <v>54</v>
      </c>
      <c r="N10" s="591">
        <v>26</v>
      </c>
      <c r="O10" s="591">
        <v>12</v>
      </c>
      <c r="P10" s="591">
        <v>100</v>
      </c>
      <c r="Q10" s="35" t="s">
        <v>233</v>
      </c>
      <c r="R10" s="35" t="s">
        <v>328</v>
      </c>
      <c r="S10" s="591">
        <v>0.7</v>
      </c>
      <c r="T10" s="591">
        <v>1.5</v>
      </c>
      <c r="U10" s="591">
        <v>3.2</v>
      </c>
      <c r="V10" s="591">
        <v>1.5</v>
      </c>
      <c r="W10" s="591">
        <v>32</v>
      </c>
      <c r="X10" s="591">
        <v>1.0999999999999999E-2</v>
      </c>
      <c r="Y10" s="591">
        <v>0.54</v>
      </c>
      <c r="Z10" s="591">
        <v>3.5</v>
      </c>
      <c r="AA10" s="591">
        <v>17</v>
      </c>
      <c r="AB10" s="591">
        <v>0.12</v>
      </c>
      <c r="AC10" s="591">
        <v>0.15</v>
      </c>
      <c r="AD10" s="591">
        <v>2.7E-2</v>
      </c>
      <c r="AE10" s="35" t="s">
        <v>66</v>
      </c>
      <c r="AF10" s="591">
        <v>0.54</v>
      </c>
      <c r="AG10" s="35" t="s">
        <v>335</v>
      </c>
      <c r="AH10" s="591">
        <v>10</v>
      </c>
      <c r="AI10" s="591">
        <v>1.4999999999999999E-2</v>
      </c>
      <c r="AJ10" s="591">
        <v>2.8000000000000001E-2</v>
      </c>
      <c r="AK10" s="35" t="s">
        <v>298</v>
      </c>
      <c r="AL10" s="33" t="s">
        <v>337</v>
      </c>
      <c r="AM10" s="33" t="s">
        <v>77</v>
      </c>
      <c r="AN10" s="33" t="s">
        <v>338</v>
      </c>
      <c r="AO10" s="33" t="s">
        <v>339</v>
      </c>
      <c r="AP10" s="591">
        <v>1.3</v>
      </c>
      <c r="AQ10" s="32"/>
      <c r="AR10" s="34" t="s">
        <v>340</v>
      </c>
      <c r="AS10" s="592">
        <v>1.7</v>
      </c>
      <c r="AT10" s="592">
        <v>1.5</v>
      </c>
      <c r="AU10" s="592">
        <v>0.88</v>
      </c>
      <c r="AV10" s="592">
        <v>1.1000000000000001</v>
      </c>
      <c r="AW10" s="591">
        <v>1.1000000000000001</v>
      </c>
      <c r="AX10" s="559">
        <v>0.81</v>
      </c>
      <c r="AY10" s="559">
        <v>2.1000000000000001E-2</v>
      </c>
      <c r="AZ10" s="559">
        <v>5.2</v>
      </c>
      <c r="BA10" s="559">
        <v>0.83</v>
      </c>
      <c r="BB10" s="32">
        <v>4.8</v>
      </c>
      <c r="BC10" s="619">
        <f t="shared" si="3"/>
        <v>0.99615384615384606</v>
      </c>
      <c r="BD10" s="610">
        <f t="shared" si="4"/>
        <v>1.0012048192771084</v>
      </c>
      <c r="BF10" s="610" t="e">
        <f t="shared" si="5"/>
        <v>#VALUE!</v>
      </c>
      <c r="BG10" s="610">
        <f t="shared" si="6"/>
        <v>8.8709677419354844E-4</v>
      </c>
      <c r="BH10" s="610">
        <f t="shared" si="7"/>
        <v>5.8333333333333327E-2</v>
      </c>
      <c r="BI10" s="610">
        <f t="shared" si="8"/>
        <v>7.3913043478260874E-4</v>
      </c>
      <c r="BJ10" s="610">
        <f t="shared" si="9"/>
        <v>5.5555555555555552E-2</v>
      </c>
      <c r="BK10" s="610">
        <f t="shared" si="10"/>
        <v>4.6153846153846149E-3</v>
      </c>
      <c r="BL10" s="610">
        <f t="shared" si="11"/>
        <v>7.1604938271604933E-3</v>
      </c>
      <c r="BM10" s="610" t="e">
        <f t="shared" si="12"/>
        <v>#VALUE!</v>
      </c>
      <c r="BN10" s="563" t="e">
        <f t="shared" si="13"/>
        <v>#VALUE!</v>
      </c>
      <c r="BO10" s="563" t="e">
        <f t="shared" si="14"/>
        <v>#VALUE!</v>
      </c>
      <c r="BP10" s="611" t="e">
        <f t="shared" si="15"/>
        <v>#VALUE!</v>
      </c>
      <c r="BR10" s="564">
        <f t="shared" si="16"/>
        <v>3.8499999999999996</v>
      </c>
      <c r="BS10" s="564">
        <f t="shared" si="17"/>
        <v>7.0949999999999999E-2</v>
      </c>
      <c r="BT10" s="564">
        <f t="shared" si="18"/>
        <v>4.2500000000000003E-2</v>
      </c>
      <c r="BU10" s="564">
        <f t="shared" si="19"/>
        <v>8.32</v>
      </c>
      <c r="BV10" s="564">
        <f t="shared" si="20"/>
        <v>0.83</v>
      </c>
      <c r="BW10" s="564">
        <f t="shared" si="21"/>
        <v>0.23894000000000001</v>
      </c>
      <c r="BX10" s="564" t="e">
        <f t="shared" si="0"/>
        <v>#VALUE!</v>
      </c>
      <c r="BY10" s="564">
        <f t="shared" si="22"/>
        <v>4.4159999999999998E-2</v>
      </c>
      <c r="BZ10" s="564">
        <f t="shared" si="23"/>
        <v>1.1689999999999999E-3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0.86235489220563843</v>
      </c>
      <c r="CE10" s="610">
        <f t="shared" si="27"/>
        <v>0.92307692307692302</v>
      </c>
      <c r="CF10" s="610">
        <f t="shared" si="1"/>
        <v>0</v>
      </c>
      <c r="CG10" s="610">
        <f t="shared" si="2"/>
        <v>0.83099999999999996</v>
      </c>
    </row>
    <row r="11" spans="2:85" ht="20.149999999999999" customHeight="1" thickBot="1" x14ac:dyDescent="0.25">
      <c r="B11" s="39" t="s">
        <v>61</v>
      </c>
      <c r="C11" s="40" t="s">
        <v>201</v>
      </c>
      <c r="D11" s="560">
        <v>23.5</v>
      </c>
      <c r="E11" s="42" t="s">
        <v>298</v>
      </c>
      <c r="F11" s="43">
        <v>5.3999999999999999E-2</v>
      </c>
      <c r="G11" s="43">
        <v>5.7</v>
      </c>
      <c r="H11" s="44">
        <v>6.5000000000000002E-2</v>
      </c>
      <c r="I11" s="43">
        <v>2.1</v>
      </c>
      <c r="J11" s="43">
        <v>0.16</v>
      </c>
      <c r="K11" s="43">
        <v>9.0999999999999998E-2</v>
      </c>
      <c r="L11" s="45">
        <v>4.2999999999999997E-2</v>
      </c>
      <c r="M11" s="600">
        <v>98</v>
      </c>
      <c r="N11" s="593">
        <v>25</v>
      </c>
      <c r="O11" s="593">
        <v>16</v>
      </c>
      <c r="P11" s="593">
        <v>99</v>
      </c>
      <c r="Q11" s="593">
        <v>63</v>
      </c>
      <c r="R11" s="43" t="s">
        <v>328</v>
      </c>
      <c r="S11" s="593">
        <v>1.7</v>
      </c>
      <c r="T11" s="593">
        <v>3.7</v>
      </c>
      <c r="U11" s="43" t="s">
        <v>330</v>
      </c>
      <c r="V11" s="593">
        <v>2</v>
      </c>
      <c r="W11" s="593">
        <v>25</v>
      </c>
      <c r="X11" s="593">
        <v>1.9E-2</v>
      </c>
      <c r="Y11" s="593">
        <v>1.4</v>
      </c>
      <c r="Z11" s="593">
        <v>2.8</v>
      </c>
      <c r="AA11" s="593">
        <v>55</v>
      </c>
      <c r="AB11" s="593">
        <v>0.28000000000000003</v>
      </c>
      <c r="AC11" s="593">
        <v>0.38</v>
      </c>
      <c r="AD11" s="593">
        <v>3.5999999999999997E-2</v>
      </c>
      <c r="AE11" s="593">
        <v>0.26</v>
      </c>
      <c r="AF11" s="593">
        <v>0.61</v>
      </c>
      <c r="AG11" s="43" t="s">
        <v>335</v>
      </c>
      <c r="AH11" s="593">
        <v>4.0999999999999996</v>
      </c>
      <c r="AI11" s="593">
        <v>3.4000000000000002E-2</v>
      </c>
      <c r="AJ11" s="593">
        <v>4.8000000000000001E-2</v>
      </c>
      <c r="AK11" s="43" t="s">
        <v>298</v>
      </c>
      <c r="AL11" s="41" t="s">
        <v>337</v>
      </c>
      <c r="AM11" s="560">
        <v>4.7E-2</v>
      </c>
      <c r="AN11" s="41" t="s">
        <v>338</v>
      </c>
      <c r="AO11" s="41" t="s">
        <v>339</v>
      </c>
      <c r="AP11" s="593">
        <v>1.9</v>
      </c>
      <c r="AQ11" s="45"/>
      <c r="AR11" s="42" t="s">
        <v>340</v>
      </c>
      <c r="AS11" s="594">
        <v>2</v>
      </c>
      <c r="AT11" s="594">
        <v>1.6</v>
      </c>
      <c r="AU11" s="594">
        <v>0.93</v>
      </c>
      <c r="AV11" s="594">
        <v>1.6</v>
      </c>
      <c r="AW11" s="593">
        <v>1.7</v>
      </c>
      <c r="AX11" s="560">
        <v>1.4</v>
      </c>
      <c r="AY11" s="560">
        <v>3.2000000000000001E-2</v>
      </c>
      <c r="AZ11" s="560">
        <v>6.1</v>
      </c>
      <c r="BA11" s="560">
        <v>1.5</v>
      </c>
      <c r="BB11" s="45">
        <v>6.3</v>
      </c>
      <c r="BC11" s="620">
        <f t="shared" si="3"/>
        <v>1.0049180327868854</v>
      </c>
      <c r="BD11" s="617">
        <f t="shared" si="4"/>
        <v>1.021333333333333</v>
      </c>
      <c r="BE11" s="616"/>
      <c r="BF11" s="617" t="e">
        <f t="shared" si="5"/>
        <v>#VALUE!</v>
      </c>
      <c r="BG11" s="617">
        <f t="shared" si="6"/>
        <v>8.7096774193548391E-4</v>
      </c>
      <c r="BH11" s="617">
        <f t="shared" si="7"/>
        <v>0.11875000000000001</v>
      </c>
      <c r="BI11" s="617">
        <f t="shared" si="8"/>
        <v>2.8260869565217392E-3</v>
      </c>
      <c r="BJ11" s="617">
        <f t="shared" si="9"/>
        <v>0.11666666666666667</v>
      </c>
      <c r="BK11" s="617">
        <f t="shared" si="10"/>
        <v>4.1025641025641026E-3</v>
      </c>
      <c r="BL11" s="617">
        <f t="shared" si="11"/>
        <v>7.4897119341563786E-3</v>
      </c>
      <c r="BM11" s="617">
        <f t="shared" si="12"/>
        <v>2.15E-3</v>
      </c>
      <c r="BN11" s="621" t="e">
        <f t="shared" si="13"/>
        <v>#VALUE!</v>
      </c>
      <c r="BO11" s="621">
        <f t="shared" si="14"/>
        <v>133.23502965990892</v>
      </c>
      <c r="BP11" s="618" t="e">
        <f t="shared" si="15"/>
        <v>#VALUE!</v>
      </c>
      <c r="BQ11" s="616"/>
      <c r="BR11" s="615">
        <f t="shared" si="16"/>
        <v>7.8375000000000004</v>
      </c>
      <c r="BS11" s="615">
        <f t="shared" si="17"/>
        <v>6.966E-2</v>
      </c>
      <c r="BT11" s="615">
        <f t="shared" si="18"/>
        <v>0.16250000000000001</v>
      </c>
      <c r="BU11" s="615">
        <f t="shared" si="19"/>
        <v>9.76</v>
      </c>
      <c r="BV11" s="615">
        <f t="shared" si="20"/>
        <v>1.5</v>
      </c>
      <c r="BW11" s="615">
        <f t="shared" si="21"/>
        <v>0.22975000000000001</v>
      </c>
      <c r="BX11" s="615">
        <f t="shared" si="0"/>
        <v>8.8200000000000001E-2</v>
      </c>
      <c r="BY11" s="615">
        <f t="shared" si="22"/>
        <v>3.4499999999999996E-2</v>
      </c>
      <c r="BZ11" s="615">
        <f t="shared" si="23"/>
        <v>2.8389999999999995E-3</v>
      </c>
      <c r="CA11" s="615">
        <f t="shared" si="24"/>
        <v>19.684949000000003</v>
      </c>
      <c r="CB11" s="618">
        <f t="shared" si="25"/>
        <v>0.83765740425531932</v>
      </c>
      <c r="CC11" s="617"/>
      <c r="CD11" s="617">
        <f t="shared" si="26"/>
        <v>0.80263157894736836</v>
      </c>
      <c r="CE11" s="617">
        <f t="shared" si="27"/>
        <v>1.0327868852459017</v>
      </c>
      <c r="CF11" s="617">
        <f t="shared" si="1"/>
        <v>9.9999999999999867E-2</v>
      </c>
      <c r="CG11" s="617">
        <f t="shared" si="2"/>
        <v>1.4319999999999999</v>
      </c>
    </row>
    <row r="12" spans="2:85" ht="20.149999999999999" customHeight="1" x14ac:dyDescent="0.2">
      <c r="B12" s="31" t="s">
        <v>202</v>
      </c>
      <c r="C12" s="46" t="s">
        <v>203</v>
      </c>
      <c r="D12" s="561">
        <v>17.3</v>
      </c>
      <c r="E12" s="630">
        <f t="shared" ref="E12:E18" si="28">0.5*0.012</f>
        <v>6.0000000000000001E-3</v>
      </c>
      <c r="F12" s="49">
        <v>8.5000000000000006E-2</v>
      </c>
      <c r="G12" s="49">
        <v>3.9</v>
      </c>
      <c r="H12" s="50">
        <v>0.14000000000000001</v>
      </c>
      <c r="I12" s="49">
        <v>1.3</v>
      </c>
      <c r="J12" s="49">
        <v>0.13</v>
      </c>
      <c r="K12" s="49">
        <v>0.09</v>
      </c>
      <c r="L12" s="632">
        <f>0.5*0.035</f>
        <v>1.7500000000000002E-2</v>
      </c>
      <c r="M12" s="601">
        <v>180</v>
      </c>
      <c r="N12" s="595">
        <v>16</v>
      </c>
      <c r="O12" s="595">
        <v>24</v>
      </c>
      <c r="P12" s="595">
        <v>63</v>
      </c>
      <c r="Q12" s="625">
        <f>0.5*14</f>
        <v>7</v>
      </c>
      <c r="R12" s="625">
        <f t="shared" ref="R12:R18" si="29">0.5*0.0092</f>
        <v>4.5999999999999999E-3</v>
      </c>
      <c r="S12" s="595">
        <v>1.2</v>
      </c>
      <c r="T12" s="595">
        <v>2.6</v>
      </c>
      <c r="U12" s="625">
        <f t="shared" ref="U12:U18" si="30">0.5*0.52</f>
        <v>0.26</v>
      </c>
      <c r="V12" s="595">
        <v>1.4</v>
      </c>
      <c r="W12" s="595">
        <v>19</v>
      </c>
      <c r="X12" s="595">
        <v>1.7000000000000001E-2</v>
      </c>
      <c r="Y12" s="595">
        <v>0.85</v>
      </c>
      <c r="Z12" s="595">
        <v>1.5</v>
      </c>
      <c r="AA12" s="595">
        <v>22</v>
      </c>
      <c r="AB12" s="595">
        <v>0.15</v>
      </c>
      <c r="AC12" s="595">
        <v>0.25</v>
      </c>
      <c r="AD12" s="595">
        <v>0.02</v>
      </c>
      <c r="AE12" s="625">
        <f>0.5*0.12</f>
        <v>0.06</v>
      </c>
      <c r="AF12" s="595">
        <v>1.5</v>
      </c>
      <c r="AG12" s="625">
        <f t="shared" ref="AG12:AG18" si="31">0.5*0.006</f>
        <v>3.0000000000000001E-3</v>
      </c>
      <c r="AH12" s="595">
        <v>2.2000000000000002</v>
      </c>
      <c r="AI12" s="595">
        <v>1.7999999999999999E-2</v>
      </c>
      <c r="AJ12" s="595">
        <v>2.7E-2</v>
      </c>
      <c r="AK12" s="49">
        <f t="shared" ref="AK12:AK18" si="32">0.5*0.012</f>
        <v>6.0000000000000001E-3</v>
      </c>
      <c r="AL12" s="627">
        <f>0.5*0.00092</f>
        <v>4.6000000000000001E-4</v>
      </c>
      <c r="AM12" s="561">
        <v>3.2000000000000001E-2</v>
      </c>
      <c r="AN12" s="627">
        <f t="shared" ref="AN12:AN18" si="33">0.5*0.0014</f>
        <v>6.9999999999999999E-4</v>
      </c>
      <c r="AO12" s="627">
        <f t="shared" ref="AO12:AO18" si="34">0.5*0.00082</f>
        <v>4.0999999999999999E-4</v>
      </c>
      <c r="AP12" s="595">
        <v>1.8</v>
      </c>
      <c r="AQ12" s="37"/>
      <c r="AR12" s="630">
        <f>0.5*0.032</f>
        <v>1.6E-2</v>
      </c>
      <c r="AS12" s="596">
        <v>1.7</v>
      </c>
      <c r="AT12" s="596">
        <v>1.4</v>
      </c>
      <c r="AU12" s="596">
        <v>0.83</v>
      </c>
      <c r="AV12" s="596">
        <v>1.2</v>
      </c>
      <c r="AW12" s="595">
        <v>1.2</v>
      </c>
      <c r="AX12" s="561">
        <v>1</v>
      </c>
      <c r="AY12" s="561">
        <v>2.4E-2</v>
      </c>
      <c r="AZ12" s="561">
        <v>5.0999999999999996</v>
      </c>
      <c r="BA12" s="561">
        <v>1</v>
      </c>
      <c r="BB12" s="37">
        <v>5</v>
      </c>
      <c r="BC12" s="619">
        <f t="shared" si="3"/>
        <v>1.0090196078431373</v>
      </c>
      <c r="BD12" s="610">
        <f t="shared" si="4"/>
        <v>1.0240000000000002</v>
      </c>
      <c r="BF12" s="610">
        <f t="shared" si="5"/>
        <v>1.6901408450704225E-4</v>
      </c>
      <c r="BG12" s="610">
        <f t="shared" si="6"/>
        <v>1.370967741935484E-3</v>
      </c>
      <c r="BH12" s="610">
        <f t="shared" si="7"/>
        <v>8.1250000000000003E-2</v>
      </c>
      <c r="BI12" s="610">
        <f t="shared" si="8"/>
        <v>6.0869565217391312E-3</v>
      </c>
      <c r="BJ12" s="610">
        <f t="shared" si="9"/>
        <v>7.2222222222222229E-2</v>
      </c>
      <c r="BK12" s="610">
        <f t="shared" si="10"/>
        <v>3.3333333333333335E-3</v>
      </c>
      <c r="BL12" s="610">
        <f t="shared" si="11"/>
        <v>7.4074074074074068E-3</v>
      </c>
      <c r="BM12" s="610">
        <f t="shared" si="12"/>
        <v>8.7500000000000013E-4</v>
      </c>
      <c r="BN12" s="563">
        <f t="shared" si="13"/>
        <v>82.789981826442528</v>
      </c>
      <c r="BO12" s="563">
        <f t="shared" si="14"/>
        <v>89.924919484702087</v>
      </c>
      <c r="BP12" s="611">
        <f t="shared" si="15"/>
        <v>0.92065672453036396</v>
      </c>
      <c r="BR12" s="564">
        <f t="shared" si="16"/>
        <v>5.3624999999999998</v>
      </c>
      <c r="BS12" s="564">
        <f t="shared" si="17"/>
        <v>0.10965000000000001</v>
      </c>
      <c r="BT12" s="564">
        <f t="shared" si="18"/>
        <v>0.35000000000000003</v>
      </c>
      <c r="BU12" s="564">
        <f t="shared" si="19"/>
        <v>8.16</v>
      </c>
      <c r="BV12" s="564">
        <f t="shared" si="20"/>
        <v>1</v>
      </c>
      <c r="BW12" s="564">
        <f t="shared" si="21"/>
        <v>0.14704</v>
      </c>
      <c r="BX12" s="564">
        <f t="shared" si="0"/>
        <v>9.7999999999999997E-3</v>
      </c>
      <c r="BY12" s="564">
        <f t="shared" si="22"/>
        <v>2.6219999999999997E-2</v>
      </c>
      <c r="BZ12" s="564">
        <f t="shared" si="23"/>
        <v>2.0039999999999997E-3</v>
      </c>
      <c r="CA12" s="564">
        <f t="shared" si="24"/>
        <v>15.167214000000001</v>
      </c>
      <c r="CB12" s="611">
        <f t="shared" si="25"/>
        <v>0.87671757225433533</v>
      </c>
      <c r="CC12" s="610"/>
      <c r="CD12" s="610">
        <f t="shared" si="26"/>
        <v>0.83606557377049184</v>
      </c>
      <c r="CE12" s="610">
        <f t="shared" si="27"/>
        <v>0.98039215686274517</v>
      </c>
      <c r="CF12" s="610">
        <f t="shared" si="1"/>
        <v>0</v>
      </c>
      <c r="CG12" s="610">
        <f t="shared" si="2"/>
        <v>1.0240000000000002</v>
      </c>
    </row>
    <row r="13" spans="2:85" ht="20.149999999999999" customHeight="1" x14ac:dyDescent="0.2">
      <c r="B13" s="31" t="s">
        <v>202</v>
      </c>
      <c r="C13" s="40" t="s">
        <v>204</v>
      </c>
      <c r="D13" s="559">
        <v>26.8</v>
      </c>
      <c r="E13" s="623">
        <f t="shared" si="28"/>
        <v>6.0000000000000001E-3</v>
      </c>
      <c r="F13" s="35">
        <v>0.16</v>
      </c>
      <c r="G13" s="35">
        <v>8.9</v>
      </c>
      <c r="H13" s="36">
        <v>5.8000000000000003E-2</v>
      </c>
      <c r="I13" s="35">
        <v>3.3</v>
      </c>
      <c r="J13" s="35">
        <v>0.13</v>
      </c>
      <c r="K13" s="35">
        <v>8.6999999999999994E-2</v>
      </c>
      <c r="L13" s="32">
        <v>4.2999999999999997E-2</v>
      </c>
      <c r="M13" s="599">
        <v>86</v>
      </c>
      <c r="N13" s="624">
        <f>0.5*7.4</f>
        <v>3.7</v>
      </c>
      <c r="O13" s="591">
        <v>11</v>
      </c>
      <c r="P13" s="591">
        <v>59</v>
      </c>
      <c r="Q13" s="624">
        <f>0.5*14</f>
        <v>7</v>
      </c>
      <c r="R13" s="624">
        <f t="shared" si="29"/>
        <v>4.5999999999999999E-3</v>
      </c>
      <c r="S13" s="591">
        <v>0.89</v>
      </c>
      <c r="T13" s="591">
        <v>3</v>
      </c>
      <c r="U13" s="624">
        <f t="shared" si="30"/>
        <v>0.26</v>
      </c>
      <c r="V13" s="591">
        <v>2.5</v>
      </c>
      <c r="W13" s="591">
        <v>29</v>
      </c>
      <c r="X13" s="591">
        <v>1.7999999999999999E-2</v>
      </c>
      <c r="Y13" s="591">
        <v>1</v>
      </c>
      <c r="Z13" s="591">
        <v>1.7</v>
      </c>
      <c r="AA13" s="591">
        <v>26</v>
      </c>
      <c r="AB13" s="591">
        <v>0.46</v>
      </c>
      <c r="AC13" s="591">
        <v>0.57999999999999996</v>
      </c>
      <c r="AD13" s="591">
        <v>5.5E-2</v>
      </c>
      <c r="AE13" s="591">
        <v>0.26</v>
      </c>
      <c r="AF13" s="591">
        <v>0.68</v>
      </c>
      <c r="AG13" s="624">
        <f t="shared" si="31"/>
        <v>3.0000000000000001E-3</v>
      </c>
      <c r="AH13" s="591">
        <v>2.1</v>
      </c>
      <c r="AI13" s="591">
        <v>3.6999999999999998E-2</v>
      </c>
      <c r="AJ13" s="591">
        <v>3.6999999999999998E-2</v>
      </c>
      <c r="AK13" s="35">
        <f t="shared" si="32"/>
        <v>6.0000000000000001E-3</v>
      </c>
      <c r="AL13" s="628">
        <f>0.5*0.00092</f>
        <v>4.6000000000000001E-4</v>
      </c>
      <c r="AM13" s="559">
        <v>4.2000000000000003E-2</v>
      </c>
      <c r="AN13" s="628">
        <f t="shared" si="33"/>
        <v>6.9999999999999999E-4</v>
      </c>
      <c r="AO13" s="628">
        <f t="shared" si="34"/>
        <v>4.0999999999999999E-4</v>
      </c>
      <c r="AP13" s="591">
        <v>3.7</v>
      </c>
      <c r="AQ13" s="32"/>
      <c r="AR13" s="599">
        <v>3.5999999999999997E-2</v>
      </c>
      <c r="AS13" s="592">
        <v>1.7</v>
      </c>
      <c r="AT13" s="592">
        <v>1.1000000000000001</v>
      </c>
      <c r="AU13" s="592">
        <v>0.75</v>
      </c>
      <c r="AV13" s="592">
        <v>1.2</v>
      </c>
      <c r="AW13" s="591">
        <v>1.2</v>
      </c>
      <c r="AX13" s="559">
        <v>1.9</v>
      </c>
      <c r="AY13" s="559">
        <v>4.4999999999999998E-2</v>
      </c>
      <c r="AZ13" s="559">
        <v>4.8</v>
      </c>
      <c r="BA13" s="559">
        <v>1.9</v>
      </c>
      <c r="BB13" s="32">
        <v>5.7</v>
      </c>
      <c r="BC13" s="619">
        <f t="shared" si="3"/>
        <v>0.99708333333333343</v>
      </c>
      <c r="BD13" s="610">
        <f t="shared" si="4"/>
        <v>1.0236842105263155</v>
      </c>
      <c r="BF13" s="610">
        <f t="shared" si="5"/>
        <v>1.6901408450704225E-4</v>
      </c>
      <c r="BG13" s="610">
        <f t="shared" si="6"/>
        <v>2.5806451612903226E-3</v>
      </c>
      <c r="BH13" s="610">
        <f t="shared" si="7"/>
        <v>0.18541666666666667</v>
      </c>
      <c r="BI13" s="610">
        <f t="shared" si="8"/>
        <v>2.5217391304347826E-3</v>
      </c>
      <c r="BJ13" s="610">
        <f t="shared" si="9"/>
        <v>0.18333333333333332</v>
      </c>
      <c r="BK13" s="610">
        <f t="shared" si="10"/>
        <v>3.3333333333333335E-3</v>
      </c>
      <c r="BL13" s="610">
        <f t="shared" si="11"/>
        <v>7.1604938271604933E-3</v>
      </c>
      <c r="BM13" s="610">
        <f t="shared" si="12"/>
        <v>2.15E-3</v>
      </c>
      <c r="BN13" s="563">
        <f t="shared" si="13"/>
        <v>188.16632591246403</v>
      </c>
      <c r="BO13" s="563">
        <f t="shared" si="14"/>
        <v>198.49889962426192</v>
      </c>
      <c r="BP13" s="611">
        <f t="shared" si="15"/>
        <v>0.94794644337396128</v>
      </c>
      <c r="BR13" s="564">
        <f t="shared" si="16"/>
        <v>12.237500000000001</v>
      </c>
      <c r="BS13" s="564">
        <f t="shared" si="17"/>
        <v>0.2064</v>
      </c>
      <c r="BT13" s="564">
        <f t="shared" si="18"/>
        <v>0.14500000000000002</v>
      </c>
      <c r="BU13" s="564">
        <f t="shared" si="19"/>
        <v>7.68</v>
      </c>
      <c r="BV13" s="564">
        <f t="shared" si="20"/>
        <v>1.9</v>
      </c>
      <c r="BW13" s="564">
        <f t="shared" si="21"/>
        <v>3.4003000000000005E-2</v>
      </c>
      <c r="BX13" s="564">
        <f t="shared" si="0"/>
        <v>9.7999999999999997E-3</v>
      </c>
      <c r="BY13" s="564">
        <f t="shared" si="22"/>
        <v>4.002E-2</v>
      </c>
      <c r="BZ13" s="564">
        <f t="shared" si="23"/>
        <v>1.4863000000000001E-3</v>
      </c>
      <c r="CA13" s="564">
        <f t="shared" si="24"/>
        <v>22.254209299999996</v>
      </c>
      <c r="CB13" s="611">
        <f t="shared" si="25"/>
        <v>0.83038094402985052</v>
      </c>
      <c r="CC13" s="610"/>
      <c r="CD13" s="610">
        <f t="shared" si="26"/>
        <v>0.71641791044776126</v>
      </c>
      <c r="CE13" s="610">
        <f t="shared" si="27"/>
        <v>1.1875</v>
      </c>
      <c r="CF13" s="610">
        <f t="shared" ref="CF13:CF20" si="35">IF(AW13-AV13&gt;0,AW13-AV13,0)</f>
        <v>0</v>
      </c>
      <c r="CG13" s="610">
        <f t="shared" ref="CG13:CG20" si="36">IF(AW13-AV13&gt;0,AX13+AY13,AW13+AX13+AY13-AV13)</f>
        <v>1.9449999999999996</v>
      </c>
    </row>
    <row r="14" spans="2:85" ht="20.149999999999999" customHeight="1" x14ac:dyDescent="0.2">
      <c r="B14" s="31" t="s">
        <v>202</v>
      </c>
      <c r="C14" s="32" t="s">
        <v>205</v>
      </c>
      <c r="D14" s="559">
        <v>27.8</v>
      </c>
      <c r="E14" s="623">
        <f t="shared" si="28"/>
        <v>6.0000000000000001E-3</v>
      </c>
      <c r="F14" s="35">
        <v>7.8E-2</v>
      </c>
      <c r="G14" s="35">
        <v>11</v>
      </c>
      <c r="H14" s="36">
        <v>8.2000000000000003E-2</v>
      </c>
      <c r="I14" s="35">
        <v>4</v>
      </c>
      <c r="J14" s="35">
        <v>0.13</v>
      </c>
      <c r="K14" s="35">
        <v>8.3000000000000004E-2</v>
      </c>
      <c r="L14" s="633">
        <f>0.5*0.035</f>
        <v>1.7500000000000002E-2</v>
      </c>
      <c r="M14" s="599">
        <v>120</v>
      </c>
      <c r="N14" s="591">
        <v>15</v>
      </c>
      <c r="O14" s="591">
        <v>15</v>
      </c>
      <c r="P14" s="591">
        <v>67</v>
      </c>
      <c r="Q14" s="624">
        <f>0.5*14</f>
        <v>7</v>
      </c>
      <c r="R14" s="624">
        <f t="shared" si="29"/>
        <v>4.5999999999999999E-3</v>
      </c>
      <c r="S14" s="591">
        <v>1.5</v>
      </c>
      <c r="T14" s="591">
        <v>4.7</v>
      </c>
      <c r="U14" s="624">
        <f t="shared" si="30"/>
        <v>0.26</v>
      </c>
      <c r="V14" s="591">
        <v>2.6</v>
      </c>
      <c r="W14" s="591">
        <v>37</v>
      </c>
      <c r="X14" s="591">
        <v>2.8000000000000001E-2</v>
      </c>
      <c r="Y14" s="591">
        <v>1.6</v>
      </c>
      <c r="Z14" s="591">
        <v>2.9</v>
      </c>
      <c r="AA14" s="591">
        <v>33</v>
      </c>
      <c r="AB14" s="591">
        <v>0.64</v>
      </c>
      <c r="AC14" s="591">
        <v>0.66</v>
      </c>
      <c r="AD14" s="591">
        <v>8.8999999999999996E-2</v>
      </c>
      <c r="AE14" s="591">
        <v>0.26</v>
      </c>
      <c r="AF14" s="591">
        <v>0.83</v>
      </c>
      <c r="AG14" s="624">
        <f t="shared" si="31"/>
        <v>3.0000000000000001E-3</v>
      </c>
      <c r="AH14" s="591">
        <v>2.5</v>
      </c>
      <c r="AI14" s="591">
        <v>5.1999999999999998E-2</v>
      </c>
      <c r="AJ14" s="591">
        <v>5.1999999999999998E-2</v>
      </c>
      <c r="AK14" s="35">
        <f t="shared" si="32"/>
        <v>6.0000000000000001E-3</v>
      </c>
      <c r="AL14" s="559">
        <v>1.1000000000000001E-3</v>
      </c>
      <c r="AM14" s="559">
        <v>5.5E-2</v>
      </c>
      <c r="AN14" s="628">
        <f t="shared" si="33"/>
        <v>6.9999999999999999E-4</v>
      </c>
      <c r="AO14" s="628">
        <f t="shared" si="34"/>
        <v>4.0999999999999999E-4</v>
      </c>
      <c r="AP14" s="591">
        <v>5</v>
      </c>
      <c r="AQ14" s="32"/>
      <c r="AR14" s="623">
        <f>0.5*0.032</f>
        <v>1.6E-2</v>
      </c>
      <c r="AS14" s="592">
        <v>1.4</v>
      </c>
      <c r="AT14" s="592">
        <v>0.79</v>
      </c>
      <c r="AU14" s="592">
        <v>0.61</v>
      </c>
      <c r="AV14" s="592">
        <v>1.1000000000000001</v>
      </c>
      <c r="AW14" s="591">
        <v>1.1000000000000001</v>
      </c>
      <c r="AX14" s="559">
        <v>1.8</v>
      </c>
      <c r="AY14" s="559">
        <v>0.06</v>
      </c>
      <c r="AZ14" s="559">
        <v>3.9</v>
      </c>
      <c r="BA14" s="559">
        <v>1.9</v>
      </c>
      <c r="BB14" s="32">
        <v>4.8</v>
      </c>
      <c r="BC14" s="619">
        <f t="shared" si="3"/>
        <v>1.004102564102564</v>
      </c>
      <c r="BD14" s="610">
        <f t="shared" si="4"/>
        <v>0.9789473684210529</v>
      </c>
      <c r="BF14" s="610">
        <f t="shared" si="5"/>
        <v>1.6901408450704225E-4</v>
      </c>
      <c r="BG14" s="610">
        <f t="shared" si="6"/>
        <v>1.2580645161290322E-3</v>
      </c>
      <c r="BH14" s="610">
        <f t="shared" si="7"/>
        <v>0.22916666666666666</v>
      </c>
      <c r="BI14" s="610">
        <f t="shared" si="8"/>
        <v>3.5652173913043482E-3</v>
      </c>
      <c r="BJ14" s="610">
        <f t="shared" si="9"/>
        <v>0.22222222222222221</v>
      </c>
      <c r="BK14" s="610">
        <f t="shared" si="10"/>
        <v>3.3333333333333335E-3</v>
      </c>
      <c r="BL14" s="610">
        <f t="shared" si="11"/>
        <v>6.8312757201646089E-3</v>
      </c>
      <c r="BM14" s="610">
        <f t="shared" si="12"/>
        <v>8.7500000000000013E-4</v>
      </c>
      <c r="BN14" s="563">
        <f t="shared" si="13"/>
        <v>230.59374526730272</v>
      </c>
      <c r="BO14" s="563">
        <f t="shared" si="14"/>
        <v>236.82704866702451</v>
      </c>
      <c r="BP14" s="611">
        <f t="shared" si="15"/>
        <v>0.97367993464088753</v>
      </c>
      <c r="BR14" s="564">
        <f t="shared" si="16"/>
        <v>15.125</v>
      </c>
      <c r="BS14" s="564">
        <f t="shared" si="17"/>
        <v>0.10062</v>
      </c>
      <c r="BT14" s="564">
        <f t="shared" si="18"/>
        <v>0.20500000000000002</v>
      </c>
      <c r="BU14" s="564">
        <f t="shared" si="19"/>
        <v>6.24</v>
      </c>
      <c r="BV14" s="564">
        <f t="shared" si="20"/>
        <v>1.9</v>
      </c>
      <c r="BW14" s="564">
        <f t="shared" si="21"/>
        <v>0.13785</v>
      </c>
      <c r="BX14" s="564">
        <f t="shared" si="0"/>
        <v>9.7999999999999997E-3</v>
      </c>
      <c r="BY14" s="564">
        <f t="shared" si="22"/>
        <v>5.1059999999999994E-2</v>
      </c>
      <c r="BZ14" s="564">
        <f t="shared" si="23"/>
        <v>2.5049999999999998E-3</v>
      </c>
      <c r="CA14" s="564">
        <f t="shared" si="24"/>
        <v>23.771834999999996</v>
      </c>
      <c r="CB14" s="611">
        <f t="shared" si="25"/>
        <v>0.85510197841726598</v>
      </c>
      <c r="CC14" s="610"/>
      <c r="CD14" s="610">
        <f t="shared" si="26"/>
        <v>0.67241379310344829</v>
      </c>
      <c r="CE14" s="610">
        <f t="shared" si="27"/>
        <v>1.2307692307692308</v>
      </c>
      <c r="CF14" s="610">
        <f t="shared" si="35"/>
        <v>0</v>
      </c>
      <c r="CG14" s="610">
        <f t="shared" si="36"/>
        <v>1.8600000000000003</v>
      </c>
    </row>
    <row r="15" spans="2:85" ht="20.149999999999999" customHeight="1" x14ac:dyDescent="0.2">
      <c r="B15" s="31" t="s">
        <v>202</v>
      </c>
      <c r="C15" s="32" t="s">
        <v>206</v>
      </c>
      <c r="D15" s="559">
        <v>23.8</v>
      </c>
      <c r="E15" s="623">
        <f t="shared" si="28"/>
        <v>6.0000000000000001E-3</v>
      </c>
      <c r="F15" s="35">
        <v>5.2999999999999999E-2</v>
      </c>
      <c r="G15" s="35">
        <v>10</v>
      </c>
      <c r="H15" s="36">
        <v>3.5000000000000003E-2</v>
      </c>
      <c r="I15" s="35">
        <v>3.7</v>
      </c>
      <c r="J15" s="35">
        <v>0.13</v>
      </c>
      <c r="K15" s="35">
        <v>8.4000000000000005E-2</v>
      </c>
      <c r="L15" s="32">
        <v>3.6999999999999998E-2</v>
      </c>
      <c r="M15" s="599">
        <v>63</v>
      </c>
      <c r="N15" s="591">
        <v>26</v>
      </c>
      <c r="O15" s="591">
        <v>16</v>
      </c>
      <c r="P15" s="591">
        <v>65</v>
      </c>
      <c r="Q15" s="624">
        <f>0.5*14</f>
        <v>7</v>
      </c>
      <c r="R15" s="624">
        <f t="shared" si="29"/>
        <v>4.5999999999999999E-3</v>
      </c>
      <c r="S15" s="591">
        <v>0.69</v>
      </c>
      <c r="T15" s="591">
        <v>3.2</v>
      </c>
      <c r="U15" s="624">
        <f t="shared" si="30"/>
        <v>0.26</v>
      </c>
      <c r="V15" s="591">
        <v>2.1</v>
      </c>
      <c r="W15" s="591">
        <v>35</v>
      </c>
      <c r="X15" s="591">
        <v>1.7000000000000001E-2</v>
      </c>
      <c r="Y15" s="591">
        <v>1.2</v>
      </c>
      <c r="Z15" s="591">
        <v>3.9</v>
      </c>
      <c r="AA15" s="591">
        <v>16</v>
      </c>
      <c r="AB15" s="591">
        <v>0.56999999999999995</v>
      </c>
      <c r="AC15" s="591">
        <v>0.73</v>
      </c>
      <c r="AD15" s="591">
        <v>4.9000000000000002E-2</v>
      </c>
      <c r="AE15" s="591">
        <v>0.15</v>
      </c>
      <c r="AF15" s="591">
        <v>0.6</v>
      </c>
      <c r="AG15" s="624">
        <f t="shared" si="31"/>
        <v>3.0000000000000001E-3</v>
      </c>
      <c r="AH15" s="591">
        <v>1.5</v>
      </c>
      <c r="AI15" s="591">
        <v>2.3E-2</v>
      </c>
      <c r="AJ15" s="591">
        <v>3.1E-2</v>
      </c>
      <c r="AK15" s="35">
        <f t="shared" si="32"/>
        <v>6.0000000000000001E-3</v>
      </c>
      <c r="AL15" s="628">
        <f>0.5*0.00092</f>
        <v>4.6000000000000001E-4</v>
      </c>
      <c r="AM15" s="628">
        <f>0.5*0.028</f>
        <v>1.4E-2</v>
      </c>
      <c r="AN15" s="628">
        <f t="shared" si="33"/>
        <v>6.9999999999999999E-4</v>
      </c>
      <c r="AO15" s="628">
        <f t="shared" si="34"/>
        <v>4.0999999999999999E-4</v>
      </c>
      <c r="AP15" s="591">
        <v>4.5</v>
      </c>
      <c r="AQ15" s="32"/>
      <c r="AR15" s="623">
        <f>0.5*0.032</f>
        <v>1.6E-2</v>
      </c>
      <c r="AS15" s="592">
        <v>1.1000000000000001</v>
      </c>
      <c r="AT15" s="592">
        <v>0.69</v>
      </c>
      <c r="AU15" s="592">
        <v>0.48</v>
      </c>
      <c r="AV15" s="592">
        <v>0.91</v>
      </c>
      <c r="AW15" s="591">
        <v>0.91</v>
      </c>
      <c r="AX15" s="559">
        <v>1.5</v>
      </c>
      <c r="AY15" s="559">
        <v>7.3999999999999996E-2</v>
      </c>
      <c r="AZ15" s="559">
        <v>3.2</v>
      </c>
      <c r="BA15" s="559">
        <v>1.6</v>
      </c>
      <c r="BB15" s="32">
        <v>4</v>
      </c>
      <c r="BC15" s="619">
        <f t="shared" si="3"/>
        <v>0.99875000000000003</v>
      </c>
      <c r="BD15" s="610">
        <f t="shared" si="4"/>
        <v>0.9837499999999999</v>
      </c>
      <c r="BF15" s="610">
        <f t="shared" si="5"/>
        <v>1.6901408450704225E-4</v>
      </c>
      <c r="BG15" s="610">
        <f t="shared" si="6"/>
        <v>8.5483870967741928E-4</v>
      </c>
      <c r="BH15" s="610">
        <f t="shared" si="7"/>
        <v>0.20833333333333334</v>
      </c>
      <c r="BI15" s="610">
        <f t="shared" si="8"/>
        <v>1.5217391304347828E-3</v>
      </c>
      <c r="BJ15" s="610">
        <f t="shared" si="9"/>
        <v>0.20555555555555557</v>
      </c>
      <c r="BK15" s="610">
        <f t="shared" si="10"/>
        <v>3.3333333333333335E-3</v>
      </c>
      <c r="BL15" s="610">
        <f t="shared" si="11"/>
        <v>6.9135802469135806E-3</v>
      </c>
      <c r="BM15" s="610">
        <f t="shared" si="12"/>
        <v>1.8499999999999999E-3</v>
      </c>
      <c r="BN15" s="563">
        <f t="shared" si="13"/>
        <v>209.35718612751779</v>
      </c>
      <c r="BO15" s="563">
        <f t="shared" si="14"/>
        <v>219.17420826623726</v>
      </c>
      <c r="BP15" s="611">
        <f t="shared" si="15"/>
        <v>0.95520904482157665</v>
      </c>
      <c r="BR15" s="564">
        <f t="shared" si="16"/>
        <v>13.75</v>
      </c>
      <c r="BS15" s="564">
        <f t="shared" si="17"/>
        <v>6.837E-2</v>
      </c>
      <c r="BT15" s="564">
        <f t="shared" si="18"/>
        <v>8.7500000000000008E-2</v>
      </c>
      <c r="BU15" s="564">
        <f t="shared" si="19"/>
        <v>5.120000000000001</v>
      </c>
      <c r="BV15" s="564">
        <f t="shared" si="20"/>
        <v>1.6</v>
      </c>
      <c r="BW15" s="564">
        <f t="shared" si="21"/>
        <v>0.23894000000000001</v>
      </c>
      <c r="BX15" s="564">
        <f t="shared" si="0"/>
        <v>9.7999999999999997E-3</v>
      </c>
      <c r="BY15" s="564">
        <f t="shared" si="22"/>
        <v>4.8300000000000003E-2</v>
      </c>
      <c r="BZ15" s="564">
        <f t="shared" si="23"/>
        <v>1.1523E-3</v>
      </c>
      <c r="CA15" s="564">
        <f t="shared" si="24"/>
        <v>20.924062300000003</v>
      </c>
      <c r="CB15" s="611">
        <f t="shared" si="25"/>
        <v>0.87916228151260511</v>
      </c>
      <c r="CC15" s="610"/>
      <c r="CD15" s="610">
        <f t="shared" si="26"/>
        <v>0.66666666666666663</v>
      </c>
      <c r="CE15" s="610">
        <f t="shared" si="27"/>
        <v>1.25</v>
      </c>
      <c r="CF15" s="610">
        <f t="shared" si="35"/>
        <v>0</v>
      </c>
      <c r="CG15" s="610">
        <f t="shared" si="36"/>
        <v>1.5739999999999998</v>
      </c>
    </row>
    <row r="16" spans="2:85" ht="20.149999999999999" customHeight="1" x14ac:dyDescent="0.2">
      <c r="B16" s="31" t="s">
        <v>202</v>
      </c>
      <c r="C16" s="32" t="s">
        <v>207</v>
      </c>
      <c r="D16" s="559">
        <v>30.3</v>
      </c>
      <c r="E16" s="623">
        <f t="shared" si="28"/>
        <v>6.0000000000000001E-3</v>
      </c>
      <c r="F16" s="624">
        <f>0.5*0.031</f>
        <v>1.55E-2</v>
      </c>
      <c r="G16" s="35">
        <v>14</v>
      </c>
      <c r="H16" s="36">
        <v>1.2E-2</v>
      </c>
      <c r="I16" s="35">
        <v>4.7</v>
      </c>
      <c r="J16" s="35">
        <v>0.12</v>
      </c>
      <c r="K16" s="35">
        <v>8.2000000000000003E-2</v>
      </c>
      <c r="L16" s="633">
        <f>0.5*0.035</f>
        <v>1.7500000000000002E-2</v>
      </c>
      <c r="M16" s="599">
        <v>52</v>
      </c>
      <c r="N16" s="591">
        <v>13</v>
      </c>
      <c r="O16" s="591">
        <v>17</v>
      </c>
      <c r="P16" s="591">
        <v>62</v>
      </c>
      <c r="Q16" s="624">
        <f>0.5*14</f>
        <v>7</v>
      </c>
      <c r="R16" s="624">
        <f t="shared" si="29"/>
        <v>4.5999999999999999E-3</v>
      </c>
      <c r="S16" s="591">
        <v>1.1000000000000001</v>
      </c>
      <c r="T16" s="591">
        <v>3.5</v>
      </c>
      <c r="U16" s="624">
        <f t="shared" si="30"/>
        <v>0.26</v>
      </c>
      <c r="V16" s="591">
        <v>2.4</v>
      </c>
      <c r="W16" s="591">
        <v>32</v>
      </c>
      <c r="X16" s="591">
        <v>2.8000000000000001E-2</v>
      </c>
      <c r="Y16" s="591">
        <v>1.2</v>
      </c>
      <c r="Z16" s="591">
        <v>2.5</v>
      </c>
      <c r="AA16" s="591">
        <v>31</v>
      </c>
      <c r="AB16" s="591">
        <v>1.1000000000000001</v>
      </c>
      <c r="AC16" s="591">
        <v>0.71</v>
      </c>
      <c r="AD16" s="591">
        <v>8.3000000000000004E-2</v>
      </c>
      <c r="AE16" s="591">
        <v>0.22</v>
      </c>
      <c r="AF16" s="591">
        <v>0.67</v>
      </c>
      <c r="AG16" s="624">
        <f t="shared" si="31"/>
        <v>3.0000000000000001E-3</v>
      </c>
      <c r="AH16" s="591">
        <v>1.3</v>
      </c>
      <c r="AI16" s="591">
        <v>3.1E-2</v>
      </c>
      <c r="AJ16" s="591">
        <v>4.7E-2</v>
      </c>
      <c r="AK16" s="35">
        <f t="shared" si="32"/>
        <v>6.0000000000000001E-3</v>
      </c>
      <c r="AL16" s="628">
        <f>0.5*0.00092</f>
        <v>4.6000000000000001E-4</v>
      </c>
      <c r="AM16" s="559">
        <v>3.7999999999999999E-2</v>
      </c>
      <c r="AN16" s="628">
        <f t="shared" si="33"/>
        <v>6.9999999999999999E-4</v>
      </c>
      <c r="AO16" s="628">
        <f t="shared" si="34"/>
        <v>4.0999999999999999E-4</v>
      </c>
      <c r="AP16" s="591">
        <v>4</v>
      </c>
      <c r="AQ16" s="32"/>
      <c r="AR16" s="623">
        <f>0.5*0.032</f>
        <v>1.6E-2</v>
      </c>
      <c r="AS16" s="592">
        <v>1.4</v>
      </c>
      <c r="AT16" s="592">
        <v>1.1000000000000001</v>
      </c>
      <c r="AU16" s="592">
        <v>0.65</v>
      </c>
      <c r="AV16" s="592">
        <v>1.2</v>
      </c>
      <c r="AW16" s="591">
        <v>1.3</v>
      </c>
      <c r="AX16" s="559">
        <v>1.9</v>
      </c>
      <c r="AY16" s="559">
        <v>3.1E-2</v>
      </c>
      <c r="AZ16" s="559">
        <v>4.4000000000000004</v>
      </c>
      <c r="BA16" s="559">
        <v>2</v>
      </c>
      <c r="BB16" s="32">
        <v>4.7</v>
      </c>
      <c r="BC16" s="619">
        <f t="shared" si="3"/>
        <v>0.99227272727272708</v>
      </c>
      <c r="BD16" s="610">
        <f t="shared" si="4"/>
        <v>1.0155000000000003</v>
      </c>
      <c r="BF16" s="610">
        <f t="shared" si="5"/>
        <v>1.6901408450704225E-4</v>
      </c>
      <c r="BG16" s="610">
        <f t="shared" si="6"/>
        <v>2.5000000000000001E-4</v>
      </c>
      <c r="BH16" s="610">
        <f t="shared" si="7"/>
        <v>0.29166666666666669</v>
      </c>
      <c r="BI16" s="610">
        <f t="shared" si="8"/>
        <v>5.2173913043478267E-4</v>
      </c>
      <c r="BJ16" s="610">
        <f t="shared" si="9"/>
        <v>0.26111111111111113</v>
      </c>
      <c r="BK16" s="610">
        <f t="shared" si="10"/>
        <v>3.0769230769230769E-3</v>
      </c>
      <c r="BL16" s="610">
        <f t="shared" si="11"/>
        <v>6.748971193415638E-3</v>
      </c>
      <c r="BM16" s="610">
        <f t="shared" si="12"/>
        <v>8.7500000000000013E-4</v>
      </c>
      <c r="BN16" s="563">
        <f t="shared" si="13"/>
        <v>292.08568075117375</v>
      </c>
      <c r="BO16" s="563">
        <f t="shared" si="14"/>
        <v>272.33374451188467</v>
      </c>
      <c r="BP16" s="611">
        <f t="shared" si="15"/>
        <v>1.0725284201364444</v>
      </c>
      <c r="BR16" s="564">
        <f t="shared" si="16"/>
        <v>19.25</v>
      </c>
      <c r="BS16" s="564">
        <f t="shared" si="17"/>
        <v>1.9994999999999999E-2</v>
      </c>
      <c r="BT16" s="564">
        <f t="shared" si="18"/>
        <v>0.03</v>
      </c>
      <c r="BU16" s="564">
        <f t="shared" si="19"/>
        <v>7.0400000000000009</v>
      </c>
      <c r="BV16" s="564">
        <f t="shared" si="20"/>
        <v>2</v>
      </c>
      <c r="BW16" s="564">
        <f t="shared" si="21"/>
        <v>0.11947000000000001</v>
      </c>
      <c r="BX16" s="564">
        <f t="shared" si="0"/>
        <v>9.7999999999999997E-3</v>
      </c>
      <c r="BY16" s="564">
        <f t="shared" si="22"/>
        <v>4.4159999999999998E-2</v>
      </c>
      <c r="BZ16" s="564">
        <f t="shared" si="23"/>
        <v>1.8370000000000001E-3</v>
      </c>
      <c r="CA16" s="564">
        <f t="shared" si="24"/>
        <v>28.515262</v>
      </c>
      <c r="CB16" s="611">
        <f t="shared" si="25"/>
        <v>0.94109775577557753</v>
      </c>
      <c r="CC16" s="610"/>
      <c r="CD16" s="610">
        <f t="shared" si="26"/>
        <v>0.6875</v>
      </c>
      <c r="CE16" s="610">
        <f t="shared" si="27"/>
        <v>1.0681818181818181</v>
      </c>
      <c r="CF16" s="610">
        <f t="shared" si="35"/>
        <v>0.10000000000000009</v>
      </c>
      <c r="CG16" s="610">
        <f t="shared" si="36"/>
        <v>1.9309999999999998</v>
      </c>
    </row>
    <row r="17" spans="2:85" ht="20.149999999999999" customHeight="1" x14ac:dyDescent="0.2">
      <c r="B17" s="31" t="s">
        <v>202</v>
      </c>
      <c r="C17" s="32" t="s">
        <v>208</v>
      </c>
      <c r="D17" s="559">
        <v>29.7</v>
      </c>
      <c r="E17" s="623">
        <f t="shared" si="28"/>
        <v>6.0000000000000001E-3</v>
      </c>
      <c r="F17" s="624">
        <f>0.5*0.031</f>
        <v>1.55E-2</v>
      </c>
      <c r="G17" s="35">
        <v>14</v>
      </c>
      <c r="H17" s="36">
        <v>1.2999999999999999E-2</v>
      </c>
      <c r="I17" s="35">
        <v>4.7</v>
      </c>
      <c r="J17" s="35">
        <v>0.37</v>
      </c>
      <c r="K17" s="35">
        <v>9.8000000000000004E-2</v>
      </c>
      <c r="L17" s="633">
        <f>0.5*0.035</f>
        <v>1.7500000000000002E-2</v>
      </c>
      <c r="M17" s="599">
        <v>53</v>
      </c>
      <c r="N17" s="591">
        <v>29</v>
      </c>
      <c r="O17" s="591">
        <v>21</v>
      </c>
      <c r="P17" s="591">
        <v>290</v>
      </c>
      <c r="Q17" s="591">
        <v>47</v>
      </c>
      <c r="R17" s="624">
        <f t="shared" si="29"/>
        <v>4.5999999999999999E-3</v>
      </c>
      <c r="S17" s="591">
        <v>2.4</v>
      </c>
      <c r="T17" s="591">
        <v>4.8</v>
      </c>
      <c r="U17" s="624">
        <f t="shared" si="30"/>
        <v>0.26</v>
      </c>
      <c r="V17" s="591">
        <v>2.7</v>
      </c>
      <c r="W17" s="591">
        <v>59</v>
      </c>
      <c r="X17" s="591">
        <v>3.7999999999999999E-2</v>
      </c>
      <c r="Y17" s="591">
        <v>1.6</v>
      </c>
      <c r="Z17" s="591">
        <v>8.3000000000000007</v>
      </c>
      <c r="AA17" s="591">
        <v>43</v>
      </c>
      <c r="AB17" s="591">
        <v>1.2</v>
      </c>
      <c r="AC17" s="591">
        <v>0.8</v>
      </c>
      <c r="AD17" s="591">
        <v>0.13</v>
      </c>
      <c r="AE17" s="591">
        <v>0.24</v>
      </c>
      <c r="AF17" s="591">
        <v>3.1</v>
      </c>
      <c r="AG17" s="624">
        <f t="shared" si="31"/>
        <v>3.0000000000000001E-3</v>
      </c>
      <c r="AH17" s="591">
        <v>16</v>
      </c>
      <c r="AI17" s="591">
        <v>3.1E-2</v>
      </c>
      <c r="AJ17" s="591">
        <v>4.8000000000000001E-2</v>
      </c>
      <c r="AK17" s="35">
        <f t="shared" si="32"/>
        <v>6.0000000000000001E-3</v>
      </c>
      <c r="AL17" s="559">
        <v>9.3000000000000005E-4</v>
      </c>
      <c r="AM17" s="559">
        <v>3.5999999999999997E-2</v>
      </c>
      <c r="AN17" s="628">
        <f t="shared" si="33"/>
        <v>6.9999999999999999E-4</v>
      </c>
      <c r="AO17" s="628">
        <f t="shared" si="34"/>
        <v>4.0999999999999999E-4</v>
      </c>
      <c r="AP17" s="591">
        <v>5.4</v>
      </c>
      <c r="AQ17" s="32"/>
      <c r="AR17" s="623">
        <f>0.5*0.032</f>
        <v>1.6E-2</v>
      </c>
      <c r="AS17" s="592">
        <v>1.2</v>
      </c>
      <c r="AT17" s="592">
        <v>0.69</v>
      </c>
      <c r="AU17" s="592">
        <v>0.59</v>
      </c>
      <c r="AV17" s="592">
        <v>1.1000000000000001</v>
      </c>
      <c r="AW17" s="591">
        <v>1.2</v>
      </c>
      <c r="AX17" s="559">
        <v>1.4</v>
      </c>
      <c r="AY17" s="559">
        <v>3.5999999999999997E-2</v>
      </c>
      <c r="AZ17" s="559">
        <v>3.6</v>
      </c>
      <c r="BA17" s="559">
        <v>1.5</v>
      </c>
      <c r="BB17" s="32">
        <v>4.0999999999999996</v>
      </c>
      <c r="BC17" s="619">
        <f t="shared" si="3"/>
        <v>0.99888888888888894</v>
      </c>
      <c r="BD17" s="610">
        <f t="shared" si="4"/>
        <v>1.0239999999999998</v>
      </c>
      <c r="BF17" s="610">
        <f t="shared" si="5"/>
        <v>1.6901408450704225E-4</v>
      </c>
      <c r="BG17" s="610">
        <f t="shared" si="6"/>
        <v>2.5000000000000001E-4</v>
      </c>
      <c r="BH17" s="610">
        <f t="shared" si="7"/>
        <v>0.29166666666666669</v>
      </c>
      <c r="BI17" s="610">
        <f t="shared" si="8"/>
        <v>5.6521739130434778E-4</v>
      </c>
      <c r="BJ17" s="610">
        <f t="shared" si="9"/>
        <v>0.26111111111111113</v>
      </c>
      <c r="BK17" s="610">
        <f t="shared" si="10"/>
        <v>9.4871794871794878E-3</v>
      </c>
      <c r="BL17" s="610">
        <f t="shared" si="11"/>
        <v>8.0658436213991765E-3</v>
      </c>
      <c r="BM17" s="610">
        <f t="shared" si="12"/>
        <v>8.7500000000000013E-4</v>
      </c>
      <c r="BN17" s="563">
        <f t="shared" si="13"/>
        <v>292.08568075117375</v>
      </c>
      <c r="BO17" s="563">
        <f t="shared" si="14"/>
        <v>280.10435161099412</v>
      </c>
      <c r="BP17" s="611">
        <f t="shared" si="15"/>
        <v>1.0427745198218812</v>
      </c>
      <c r="BR17" s="564">
        <f t="shared" si="16"/>
        <v>19.25</v>
      </c>
      <c r="BS17" s="564">
        <f t="shared" si="17"/>
        <v>1.9994999999999999E-2</v>
      </c>
      <c r="BT17" s="564">
        <f t="shared" si="18"/>
        <v>3.2500000000000001E-2</v>
      </c>
      <c r="BU17" s="564">
        <f t="shared" si="19"/>
        <v>5.7600000000000007</v>
      </c>
      <c r="BV17" s="564">
        <f t="shared" si="20"/>
        <v>1.5</v>
      </c>
      <c r="BW17" s="564">
        <f t="shared" si="21"/>
        <v>0.26651000000000002</v>
      </c>
      <c r="BX17" s="564">
        <f t="shared" si="0"/>
        <v>6.5799999999999997E-2</v>
      </c>
      <c r="BY17" s="564">
        <f t="shared" si="22"/>
        <v>8.1419999999999992E-2</v>
      </c>
      <c r="BZ17" s="564">
        <f t="shared" si="23"/>
        <v>4.0079999999999994E-3</v>
      </c>
      <c r="CA17" s="564">
        <f t="shared" si="24"/>
        <v>26.980233000000002</v>
      </c>
      <c r="CB17" s="611">
        <f t="shared" si="25"/>
        <v>0.90842535353535359</v>
      </c>
      <c r="CC17" s="610"/>
      <c r="CD17" s="610">
        <f t="shared" si="26"/>
        <v>0.70588235294117652</v>
      </c>
      <c r="CE17" s="610">
        <f t="shared" si="27"/>
        <v>1.1388888888888888</v>
      </c>
      <c r="CF17" s="610">
        <f t="shared" si="35"/>
        <v>9.9999999999999867E-2</v>
      </c>
      <c r="CG17" s="610">
        <f t="shared" si="36"/>
        <v>1.4359999999999999</v>
      </c>
    </row>
    <row r="18" spans="2:85" ht="20.149999999999999" customHeight="1" thickBot="1" x14ac:dyDescent="0.25">
      <c r="B18" s="39" t="s">
        <v>202</v>
      </c>
      <c r="C18" s="45" t="s">
        <v>209</v>
      </c>
      <c r="D18" s="560">
        <v>30.9</v>
      </c>
      <c r="E18" s="631">
        <f t="shared" si="28"/>
        <v>6.0000000000000001E-3</v>
      </c>
      <c r="F18" s="43">
        <v>3.3000000000000002E-2</v>
      </c>
      <c r="G18" s="43">
        <v>15</v>
      </c>
      <c r="H18" s="44">
        <v>3.1E-2</v>
      </c>
      <c r="I18" s="43">
        <v>5.2</v>
      </c>
      <c r="J18" s="43">
        <v>0.19</v>
      </c>
      <c r="K18" s="43">
        <v>0.09</v>
      </c>
      <c r="L18" s="45">
        <v>4.4999999999999998E-2</v>
      </c>
      <c r="M18" s="600">
        <v>77</v>
      </c>
      <c r="N18" s="593">
        <v>21</v>
      </c>
      <c r="O18" s="593">
        <v>21</v>
      </c>
      <c r="P18" s="593">
        <v>150</v>
      </c>
      <c r="Q18" s="593">
        <v>29</v>
      </c>
      <c r="R18" s="626">
        <f t="shared" si="29"/>
        <v>4.5999999999999999E-3</v>
      </c>
      <c r="S18" s="593">
        <v>1.9</v>
      </c>
      <c r="T18" s="593">
        <v>6.3</v>
      </c>
      <c r="U18" s="626">
        <f t="shared" si="30"/>
        <v>0.26</v>
      </c>
      <c r="V18" s="593">
        <v>3.3</v>
      </c>
      <c r="W18" s="593">
        <v>43</v>
      </c>
      <c r="X18" s="593">
        <v>5.0999999999999997E-2</v>
      </c>
      <c r="Y18" s="593">
        <v>2.1</v>
      </c>
      <c r="Z18" s="593">
        <v>6.2</v>
      </c>
      <c r="AA18" s="593">
        <v>46</v>
      </c>
      <c r="AB18" s="593">
        <v>1.6</v>
      </c>
      <c r="AC18" s="593">
        <v>1.2</v>
      </c>
      <c r="AD18" s="593">
        <v>0.19</v>
      </c>
      <c r="AE18" s="593">
        <v>0.27</v>
      </c>
      <c r="AF18" s="593">
        <v>0.88</v>
      </c>
      <c r="AG18" s="626">
        <f t="shared" si="31"/>
        <v>3.0000000000000001E-3</v>
      </c>
      <c r="AH18" s="593">
        <v>2.7</v>
      </c>
      <c r="AI18" s="593">
        <v>3.5000000000000003E-2</v>
      </c>
      <c r="AJ18" s="593">
        <v>5.3999999999999999E-2</v>
      </c>
      <c r="AK18" s="43">
        <f t="shared" si="32"/>
        <v>6.0000000000000001E-3</v>
      </c>
      <c r="AL18" s="560">
        <v>1E-3</v>
      </c>
      <c r="AM18" s="560">
        <v>5.2999999999999999E-2</v>
      </c>
      <c r="AN18" s="629">
        <f t="shared" si="33"/>
        <v>6.9999999999999999E-4</v>
      </c>
      <c r="AO18" s="629">
        <f t="shared" si="34"/>
        <v>4.0999999999999999E-4</v>
      </c>
      <c r="AP18" s="593">
        <v>6.1</v>
      </c>
      <c r="AQ18" s="45"/>
      <c r="AR18" s="631">
        <f>0.5*0.032</f>
        <v>1.6E-2</v>
      </c>
      <c r="AS18" s="594">
        <v>1.3</v>
      </c>
      <c r="AT18" s="594">
        <v>0.96</v>
      </c>
      <c r="AU18" s="594">
        <v>0.63</v>
      </c>
      <c r="AV18" s="594">
        <v>1.3</v>
      </c>
      <c r="AW18" s="593">
        <v>1.4</v>
      </c>
      <c r="AX18" s="560">
        <v>1.9</v>
      </c>
      <c r="AY18" s="560">
        <v>3.9E-2</v>
      </c>
      <c r="AZ18" s="560">
        <v>4.2</v>
      </c>
      <c r="BA18" s="560">
        <v>2</v>
      </c>
      <c r="BB18" s="45">
        <v>4.2</v>
      </c>
      <c r="BC18" s="620">
        <f t="shared" si="3"/>
        <v>1.0014285714285713</v>
      </c>
      <c r="BD18" s="617">
        <f t="shared" si="4"/>
        <v>1.0194999999999999</v>
      </c>
      <c r="BE18" s="616"/>
      <c r="BF18" s="617">
        <f t="shared" si="5"/>
        <v>1.6901408450704225E-4</v>
      </c>
      <c r="BG18" s="617">
        <f t="shared" si="6"/>
        <v>5.3225806451612906E-4</v>
      </c>
      <c r="BH18" s="617">
        <f t="shared" si="7"/>
        <v>0.3125</v>
      </c>
      <c r="BI18" s="617">
        <f t="shared" si="8"/>
        <v>1.3478260869565217E-3</v>
      </c>
      <c r="BJ18" s="617">
        <f t="shared" si="9"/>
        <v>0.28888888888888892</v>
      </c>
      <c r="BK18" s="617">
        <f t="shared" si="10"/>
        <v>4.871794871794872E-3</v>
      </c>
      <c r="BL18" s="617">
        <f t="shared" si="11"/>
        <v>7.4074074074074068E-3</v>
      </c>
      <c r="BM18" s="617">
        <f t="shared" si="12"/>
        <v>2.2499999999999998E-3</v>
      </c>
      <c r="BN18" s="621">
        <f t="shared" si="13"/>
        <v>313.20127214902317</v>
      </c>
      <c r="BO18" s="621">
        <f t="shared" si="14"/>
        <v>304.76591725504778</v>
      </c>
      <c r="BP18" s="618">
        <f t="shared" si="15"/>
        <v>1.0276781438356053</v>
      </c>
      <c r="BQ18" s="616"/>
      <c r="BR18" s="615">
        <f t="shared" si="16"/>
        <v>20.625</v>
      </c>
      <c r="BS18" s="615">
        <f t="shared" si="17"/>
        <v>4.2570000000000004E-2</v>
      </c>
      <c r="BT18" s="615">
        <f t="shared" si="18"/>
        <v>7.7499999999999999E-2</v>
      </c>
      <c r="BU18" s="615">
        <f t="shared" si="19"/>
        <v>6.7200000000000006</v>
      </c>
      <c r="BV18" s="615">
        <f t="shared" si="20"/>
        <v>2</v>
      </c>
      <c r="BW18" s="615">
        <f t="shared" si="21"/>
        <v>0.19298999999999999</v>
      </c>
      <c r="BX18" s="615">
        <f t="shared" si="0"/>
        <v>4.0599999999999997E-2</v>
      </c>
      <c r="BY18" s="615">
        <f t="shared" si="22"/>
        <v>5.933999999999999E-2</v>
      </c>
      <c r="BZ18" s="615">
        <f t="shared" si="23"/>
        <v>3.173E-3</v>
      </c>
      <c r="CA18" s="615">
        <f t="shared" si="24"/>
        <v>29.761173000000007</v>
      </c>
      <c r="CB18" s="618">
        <f t="shared" si="25"/>
        <v>0.96314475728155369</v>
      </c>
      <c r="CC18" s="617"/>
      <c r="CD18" s="617">
        <f t="shared" si="26"/>
        <v>0.67741935483870974</v>
      </c>
      <c r="CE18" s="617">
        <f t="shared" si="27"/>
        <v>1</v>
      </c>
      <c r="CF18" s="617">
        <f t="shared" si="35"/>
        <v>9.9999999999999867E-2</v>
      </c>
      <c r="CG18" s="617">
        <f t="shared" si="36"/>
        <v>1.9389999999999998</v>
      </c>
    </row>
    <row r="19" spans="2:85" ht="20.149999999999999" customHeight="1" x14ac:dyDescent="0.2">
      <c r="B19" s="31" t="s">
        <v>61</v>
      </c>
      <c r="C19" s="46" t="s">
        <v>92</v>
      </c>
      <c r="D19" s="561">
        <v>28.2</v>
      </c>
      <c r="E19" s="48" t="s">
        <v>298</v>
      </c>
      <c r="F19" s="49">
        <v>0.06</v>
      </c>
      <c r="G19" s="49">
        <v>14</v>
      </c>
      <c r="H19" s="50">
        <v>2.9000000000000001E-2</v>
      </c>
      <c r="I19" s="49">
        <v>4.8</v>
      </c>
      <c r="J19" s="49">
        <v>0.17</v>
      </c>
      <c r="K19" s="49">
        <v>8.5999999999999993E-2</v>
      </c>
      <c r="L19" s="37">
        <v>4.2000000000000003E-2</v>
      </c>
      <c r="M19" s="601">
        <v>65</v>
      </c>
      <c r="N19" s="595">
        <v>35</v>
      </c>
      <c r="O19" s="595">
        <v>30</v>
      </c>
      <c r="P19" s="595">
        <v>110</v>
      </c>
      <c r="Q19" s="49" t="s">
        <v>233</v>
      </c>
      <c r="R19" s="49" t="s">
        <v>328</v>
      </c>
      <c r="S19" s="595">
        <v>2.5</v>
      </c>
      <c r="T19" s="595">
        <v>5.6</v>
      </c>
      <c r="U19" s="595">
        <v>0.59</v>
      </c>
      <c r="V19" s="595">
        <v>3.5</v>
      </c>
      <c r="W19" s="595">
        <v>48</v>
      </c>
      <c r="X19" s="595">
        <v>4.5999999999999999E-2</v>
      </c>
      <c r="Y19" s="595">
        <v>1.9</v>
      </c>
      <c r="Z19" s="595">
        <v>3.2</v>
      </c>
      <c r="AA19" s="595">
        <v>53</v>
      </c>
      <c r="AB19" s="595">
        <v>1.4</v>
      </c>
      <c r="AC19" s="595">
        <v>0.98</v>
      </c>
      <c r="AD19" s="595">
        <v>0.14000000000000001</v>
      </c>
      <c r="AE19" s="595">
        <v>0.28000000000000003</v>
      </c>
      <c r="AF19" s="595">
        <v>0.72</v>
      </c>
      <c r="AG19" s="49" t="s">
        <v>335</v>
      </c>
      <c r="AH19" s="595">
        <v>2.9</v>
      </c>
      <c r="AI19" s="595">
        <v>3.9E-2</v>
      </c>
      <c r="AJ19" s="595">
        <v>5.5E-2</v>
      </c>
      <c r="AK19" s="49" t="s">
        <v>298</v>
      </c>
      <c r="AL19" s="561">
        <v>1.2999999999999999E-3</v>
      </c>
      <c r="AM19" s="561">
        <v>3.6999999999999998E-2</v>
      </c>
      <c r="AN19" s="47" t="s">
        <v>338</v>
      </c>
      <c r="AO19" s="47" t="s">
        <v>339</v>
      </c>
      <c r="AP19" s="595">
        <v>5.7</v>
      </c>
      <c r="AQ19" s="37"/>
      <c r="AR19" s="48" t="s">
        <v>340</v>
      </c>
      <c r="AS19" s="596">
        <v>1.1000000000000001</v>
      </c>
      <c r="AT19" s="596">
        <v>0.67</v>
      </c>
      <c r="AU19" s="596">
        <v>0.47</v>
      </c>
      <c r="AV19" s="596">
        <v>0.99</v>
      </c>
      <c r="AW19" s="595">
        <v>1</v>
      </c>
      <c r="AX19" s="561">
        <v>1.5</v>
      </c>
      <c r="AY19" s="561">
        <v>3.7999999999999999E-2</v>
      </c>
      <c r="AZ19" s="561">
        <v>3.2</v>
      </c>
      <c r="BA19" s="561">
        <v>1.5</v>
      </c>
      <c r="BB19" s="37">
        <v>4</v>
      </c>
      <c r="BC19" s="619">
        <f t="shared" si="3"/>
        <v>1.0093750000000001</v>
      </c>
      <c r="BD19" s="610">
        <f t="shared" si="4"/>
        <v>1.0319999999999998</v>
      </c>
      <c r="BF19" s="610" t="e">
        <f t="shared" si="5"/>
        <v>#VALUE!</v>
      </c>
      <c r="BG19" s="610">
        <f t="shared" si="6"/>
        <v>9.6774193548387097E-4</v>
      </c>
      <c r="BH19" s="610">
        <f t="shared" si="7"/>
        <v>0.29166666666666669</v>
      </c>
      <c r="BI19" s="610">
        <f t="shared" si="8"/>
        <v>1.2608695652173913E-3</v>
      </c>
      <c r="BJ19" s="610">
        <f t="shared" si="9"/>
        <v>0.26666666666666666</v>
      </c>
      <c r="BK19" s="610">
        <f t="shared" si="10"/>
        <v>4.3589743589743596E-3</v>
      </c>
      <c r="BL19" s="610">
        <f t="shared" si="11"/>
        <v>7.0781893004115215E-3</v>
      </c>
      <c r="BM19" s="610">
        <f t="shared" si="12"/>
        <v>2.1000000000000003E-3</v>
      </c>
      <c r="BN19" s="563" t="e">
        <f t="shared" si="13"/>
        <v>#VALUE!</v>
      </c>
      <c r="BO19" s="563">
        <f t="shared" si="14"/>
        <v>281.46469989126996</v>
      </c>
      <c r="BP19" s="611" t="e">
        <f t="shared" si="15"/>
        <v>#VALUE!</v>
      </c>
      <c r="BR19" s="564">
        <f t="shared" si="16"/>
        <v>19.25</v>
      </c>
      <c r="BS19" s="564">
        <f t="shared" si="17"/>
        <v>7.7399999999999997E-2</v>
      </c>
      <c r="BT19" s="564">
        <f t="shared" si="18"/>
        <v>7.2500000000000009E-2</v>
      </c>
      <c r="BU19" s="564">
        <f t="shared" si="19"/>
        <v>5.120000000000001</v>
      </c>
      <c r="BV19" s="564">
        <f t="shared" si="20"/>
        <v>1.5</v>
      </c>
      <c r="BW19" s="564">
        <f t="shared" si="21"/>
        <v>0.32164999999999999</v>
      </c>
      <c r="BX19" s="564" t="e">
        <f t="shared" si="0"/>
        <v>#VALUE!</v>
      </c>
      <c r="BY19" s="564">
        <f t="shared" si="22"/>
        <v>6.6239999999999993E-2</v>
      </c>
      <c r="BZ19" s="564">
        <f t="shared" si="23"/>
        <v>4.1749999999999999E-3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0.68085106382978722</v>
      </c>
      <c r="CE19" s="610">
        <f t="shared" si="27"/>
        <v>1.25</v>
      </c>
      <c r="CF19" s="610">
        <f t="shared" si="35"/>
        <v>1.0000000000000009E-2</v>
      </c>
      <c r="CG19" s="610">
        <f t="shared" si="36"/>
        <v>1.538</v>
      </c>
    </row>
    <row r="20" spans="2:85" ht="20.149999999999999" customHeight="1" x14ac:dyDescent="0.2">
      <c r="B20" s="21" t="s">
        <v>61</v>
      </c>
      <c r="C20" s="52" t="s">
        <v>210</v>
      </c>
      <c r="D20" s="562">
        <v>20.6</v>
      </c>
      <c r="E20" s="54" t="s">
        <v>298</v>
      </c>
      <c r="F20" s="55">
        <v>3.5999999999999997E-2</v>
      </c>
      <c r="G20" s="55">
        <v>8.6999999999999993</v>
      </c>
      <c r="H20" s="56" t="s">
        <v>324</v>
      </c>
      <c r="I20" s="55">
        <v>3.1</v>
      </c>
      <c r="J20" s="55">
        <v>0.12</v>
      </c>
      <c r="K20" s="55">
        <v>8.2000000000000003E-2</v>
      </c>
      <c r="L20" s="52" t="s">
        <v>74</v>
      </c>
      <c r="M20" s="602">
        <v>37</v>
      </c>
      <c r="N20" s="597">
        <v>23</v>
      </c>
      <c r="O20" s="597">
        <v>23</v>
      </c>
      <c r="P20" s="597">
        <v>58</v>
      </c>
      <c r="Q20" s="55" t="s">
        <v>233</v>
      </c>
      <c r="R20" s="55" t="s">
        <v>328</v>
      </c>
      <c r="S20" s="597">
        <v>1.9</v>
      </c>
      <c r="T20" s="597">
        <v>2.9</v>
      </c>
      <c r="U20" s="597">
        <v>1.5</v>
      </c>
      <c r="V20" s="597">
        <v>2.2000000000000002</v>
      </c>
      <c r="W20" s="597">
        <v>33</v>
      </c>
      <c r="X20" s="597">
        <v>3.2000000000000001E-2</v>
      </c>
      <c r="Y20" s="597">
        <v>0.88</v>
      </c>
      <c r="Z20" s="597">
        <v>2.2000000000000002</v>
      </c>
      <c r="AA20" s="597">
        <v>24</v>
      </c>
      <c r="AB20" s="597">
        <v>0.71</v>
      </c>
      <c r="AC20" s="597">
        <v>0.48</v>
      </c>
      <c r="AD20" s="597">
        <v>7.4999999999999997E-2</v>
      </c>
      <c r="AE20" s="597">
        <v>0.15</v>
      </c>
      <c r="AF20" s="597">
        <v>0.54</v>
      </c>
      <c r="AG20" s="55" t="s">
        <v>335</v>
      </c>
      <c r="AH20" s="597">
        <v>1.7</v>
      </c>
      <c r="AI20" s="597">
        <v>1.7999999999999999E-2</v>
      </c>
      <c r="AJ20" s="597">
        <v>3.3000000000000002E-2</v>
      </c>
      <c r="AK20" s="55" t="s">
        <v>298</v>
      </c>
      <c r="AL20" s="53" t="s">
        <v>337</v>
      </c>
      <c r="AM20" s="53" t="s">
        <v>77</v>
      </c>
      <c r="AN20" s="53" t="s">
        <v>338</v>
      </c>
      <c r="AO20" s="53" t="s">
        <v>339</v>
      </c>
      <c r="AP20" s="597">
        <v>3.5</v>
      </c>
      <c r="AQ20" s="52"/>
      <c r="AR20" s="54" t="s">
        <v>340</v>
      </c>
      <c r="AS20" s="598">
        <v>0.9</v>
      </c>
      <c r="AT20" s="598">
        <v>0.52</v>
      </c>
      <c r="AU20" s="598">
        <v>0.45</v>
      </c>
      <c r="AV20" s="598">
        <v>0.83</v>
      </c>
      <c r="AW20" s="597">
        <v>0.83</v>
      </c>
      <c r="AX20" s="562">
        <v>1.2</v>
      </c>
      <c r="AY20" s="562">
        <v>4.4999999999999998E-2</v>
      </c>
      <c r="AZ20" s="562">
        <v>2.7</v>
      </c>
      <c r="BA20" s="562">
        <v>1.2</v>
      </c>
      <c r="BB20" s="52">
        <v>2.8</v>
      </c>
      <c r="BC20" s="619">
        <f t="shared" si="3"/>
        <v>0.99999999999999989</v>
      </c>
      <c r="BD20" s="610">
        <f t="shared" si="4"/>
        <v>1.0374999999999999</v>
      </c>
      <c r="BF20" s="610" t="e">
        <f t="shared" si="5"/>
        <v>#VALUE!</v>
      </c>
      <c r="BG20" s="610">
        <f t="shared" si="6"/>
        <v>5.8064516129032254E-4</v>
      </c>
      <c r="BH20" s="610">
        <f t="shared" si="7"/>
        <v>0.18124999999999999</v>
      </c>
      <c r="BI20" s="610" t="e">
        <f t="shared" si="8"/>
        <v>#VALUE!</v>
      </c>
      <c r="BJ20" s="610">
        <f t="shared" si="9"/>
        <v>0.17222222222222222</v>
      </c>
      <c r="BK20" s="610">
        <f t="shared" si="10"/>
        <v>3.0769230769230769E-3</v>
      </c>
      <c r="BL20" s="610">
        <f t="shared" si="11"/>
        <v>6.748971193415638E-3</v>
      </c>
      <c r="BM20" s="610" t="e">
        <f t="shared" si="12"/>
        <v>#VALUE!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11.962499999999999</v>
      </c>
      <c r="BS20" s="564">
        <f t="shared" si="17"/>
        <v>4.6439999999999995E-2</v>
      </c>
      <c r="BT20" s="564" t="e">
        <f t="shared" si="18"/>
        <v>#VALUE!</v>
      </c>
      <c r="BU20" s="564">
        <f t="shared" si="19"/>
        <v>4.32</v>
      </c>
      <c r="BV20" s="564">
        <f t="shared" si="20"/>
        <v>1.2</v>
      </c>
      <c r="BW20" s="564">
        <f t="shared" si="21"/>
        <v>0.21137</v>
      </c>
      <c r="BX20" s="564" t="e">
        <f t="shared" si="0"/>
        <v>#VALUE!</v>
      </c>
      <c r="BY20" s="564">
        <f t="shared" si="22"/>
        <v>4.5539999999999997E-2</v>
      </c>
      <c r="BZ20" s="564">
        <f t="shared" si="23"/>
        <v>3.173E-3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0.69230769230769229</v>
      </c>
      <c r="CE20" s="610">
        <f t="shared" si="27"/>
        <v>1.037037037037037</v>
      </c>
      <c r="CF20" s="610">
        <f t="shared" si="35"/>
        <v>0</v>
      </c>
      <c r="CG20" s="610">
        <f t="shared" si="36"/>
        <v>1.2449999999999997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26.657142857142855</v>
      </c>
      <c r="E21" s="541">
        <f t="shared" ref="E21:BB21" si="37">AVERAGE(E12:E18)</f>
        <v>5.9999999999999993E-3</v>
      </c>
      <c r="F21" s="541">
        <f t="shared" si="37"/>
        <v>6.2857142857142861E-2</v>
      </c>
      <c r="G21" s="540">
        <f t="shared" si="37"/>
        <v>10.971428571428572</v>
      </c>
      <c r="H21" s="541">
        <f t="shared" si="37"/>
        <v>5.3000000000000012E-2</v>
      </c>
      <c r="I21" s="540">
        <f t="shared" si="37"/>
        <v>3.8428571428571425</v>
      </c>
      <c r="J21" s="541">
        <f t="shared" si="37"/>
        <v>0.17142857142857143</v>
      </c>
      <c r="K21" s="541">
        <f t="shared" si="37"/>
        <v>8.7714285714285717E-2</v>
      </c>
      <c r="L21" s="541">
        <f t="shared" si="37"/>
        <v>2.7857142857142858E-2</v>
      </c>
      <c r="M21" s="540">
        <f t="shared" si="37"/>
        <v>90.142857142857139</v>
      </c>
      <c r="N21" s="540">
        <f t="shared" si="37"/>
        <v>17.671428571428571</v>
      </c>
      <c r="O21" s="540">
        <f t="shared" si="37"/>
        <v>17.857142857142858</v>
      </c>
      <c r="P21" s="540">
        <f t="shared" si="37"/>
        <v>108</v>
      </c>
      <c r="Q21" s="540">
        <f t="shared" si="37"/>
        <v>15.857142857142858</v>
      </c>
      <c r="R21" s="540">
        <f t="shared" si="37"/>
        <v>4.5999999999999999E-3</v>
      </c>
      <c r="S21" s="540">
        <f t="shared" si="37"/>
        <v>1.3828571428571428</v>
      </c>
      <c r="T21" s="540">
        <f t="shared" si="37"/>
        <v>4.0142857142857142</v>
      </c>
      <c r="U21" s="540">
        <f t="shared" si="37"/>
        <v>0.26</v>
      </c>
      <c r="V21" s="540">
        <f t="shared" si="37"/>
        <v>2.4285714285714284</v>
      </c>
      <c r="W21" s="540">
        <f t="shared" si="37"/>
        <v>36.285714285714285</v>
      </c>
      <c r="X21" s="540">
        <f t="shared" si="37"/>
        <v>2.814285714285714E-2</v>
      </c>
      <c r="Y21" s="540">
        <f t="shared" si="37"/>
        <v>1.3642857142857143</v>
      </c>
      <c r="Z21" s="540">
        <f t="shared" si="37"/>
        <v>3.8571428571428572</v>
      </c>
      <c r="AA21" s="540">
        <f t="shared" si="37"/>
        <v>31</v>
      </c>
      <c r="AB21" s="540">
        <f t="shared" si="37"/>
        <v>0.81714285714285728</v>
      </c>
      <c r="AC21" s="541">
        <f t="shared" si="37"/>
        <v>0.70428571428571429</v>
      </c>
      <c r="AD21" s="541">
        <f t="shared" si="37"/>
        <v>8.7999999999999995E-2</v>
      </c>
      <c r="AE21" s="541">
        <f t="shared" si="37"/>
        <v>0.20857142857142857</v>
      </c>
      <c r="AF21" s="541">
        <f t="shared" si="37"/>
        <v>1.1800000000000002</v>
      </c>
      <c r="AG21" s="541">
        <f t="shared" si="37"/>
        <v>2.9999999999999996E-3</v>
      </c>
      <c r="AH21" s="541">
        <f t="shared" si="37"/>
        <v>4.0428571428571427</v>
      </c>
      <c r="AI21" s="541">
        <f t="shared" si="37"/>
        <v>3.2428571428571425E-2</v>
      </c>
      <c r="AJ21" s="541">
        <f t="shared" si="37"/>
        <v>4.2285714285714281E-2</v>
      </c>
      <c r="AK21" s="541">
        <f t="shared" si="37"/>
        <v>5.9999999999999993E-3</v>
      </c>
      <c r="AL21" s="541">
        <f t="shared" si="37"/>
        <v>6.9571428571428573E-4</v>
      </c>
      <c r="AM21" s="541">
        <f t="shared" si="37"/>
        <v>3.8571428571428576E-2</v>
      </c>
      <c r="AN21" s="541">
        <f t="shared" si="37"/>
        <v>6.9999999999999999E-4</v>
      </c>
      <c r="AO21" s="541">
        <f t="shared" si="37"/>
        <v>4.0999999999999988E-4</v>
      </c>
      <c r="AP21" s="541">
        <f t="shared" si="37"/>
        <v>4.3571428571428568</v>
      </c>
      <c r="AQ21" s="541" t="e">
        <f t="shared" si="37"/>
        <v>#DIV/0!</v>
      </c>
      <c r="AR21" s="540">
        <f t="shared" si="37"/>
        <v>1.8857142857142857E-2</v>
      </c>
      <c r="AS21" s="540">
        <f t="shared" si="37"/>
        <v>1.4000000000000001</v>
      </c>
      <c r="AT21" s="540">
        <f t="shared" si="37"/>
        <v>0.96142857142857141</v>
      </c>
      <c r="AU21" s="540">
        <f t="shared" si="37"/>
        <v>0.64857142857142858</v>
      </c>
      <c r="AV21" s="540">
        <f t="shared" si="37"/>
        <v>1.1442857142857146</v>
      </c>
      <c r="AW21" s="540">
        <f t="shared" si="37"/>
        <v>1.1871428571428573</v>
      </c>
      <c r="AX21" s="540">
        <f t="shared" si="37"/>
        <v>1.6285714285714286</v>
      </c>
      <c r="AY21" s="540">
        <f t="shared" si="37"/>
        <v>4.4142857142857143E-2</v>
      </c>
      <c r="AZ21" s="540">
        <f t="shared" si="37"/>
        <v>4.1714285714285717</v>
      </c>
      <c r="BA21" s="540">
        <f t="shared" si="37"/>
        <v>1.7</v>
      </c>
      <c r="BB21" s="540">
        <f t="shared" si="37"/>
        <v>4.6428571428571432</v>
      </c>
      <c r="CD21" s="691">
        <f>AVERAGE(CD12:CD18)</f>
        <v>0.70890937882403637</v>
      </c>
      <c r="CE21" s="691">
        <f>AVERAGE(CE12:CE18)</f>
        <v>1.1222474421003832</v>
      </c>
      <c r="CF21" s="691">
        <f>AVERAGE(CF12:CF18)</f>
        <v>4.285714285714283E-2</v>
      </c>
      <c r="CG21" s="691">
        <f>AVERAGE(CG12:CG18)</f>
        <v>1.6727142857142856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21.342857142857149</v>
      </c>
      <c r="E22" s="545">
        <f t="shared" ref="E22:BB22" si="38">AVERAGE(E7:E20)</f>
        <v>5.9999999999999993E-3</v>
      </c>
      <c r="F22" s="545">
        <f t="shared" si="38"/>
        <v>5.484615384615385E-2</v>
      </c>
      <c r="G22" s="544">
        <f t="shared" si="38"/>
        <v>8.2421428571428574</v>
      </c>
      <c r="H22" s="545">
        <f t="shared" si="38"/>
        <v>4.8200000000000007E-2</v>
      </c>
      <c r="I22" s="544">
        <f t="shared" si="38"/>
        <v>2.8887142857142858</v>
      </c>
      <c r="J22" s="545">
        <f t="shared" si="38"/>
        <v>0.16857142857142857</v>
      </c>
      <c r="K22" s="545">
        <f t="shared" si="38"/>
        <v>8.7071428571428564E-2</v>
      </c>
      <c r="L22" s="545">
        <f t="shared" si="38"/>
        <v>3.2999999999999995E-2</v>
      </c>
      <c r="M22" s="544">
        <f t="shared" si="38"/>
        <v>75.75</v>
      </c>
      <c r="N22" s="544">
        <f t="shared" si="38"/>
        <v>20.764285714285712</v>
      </c>
      <c r="O22" s="544">
        <f t="shared" si="38"/>
        <v>19.435714285714287</v>
      </c>
      <c r="P22" s="544">
        <f t="shared" si="38"/>
        <v>94.538461538461533</v>
      </c>
      <c r="Q22" s="544">
        <f t="shared" si="38"/>
        <v>21</v>
      </c>
      <c r="R22" s="544">
        <f t="shared" si="38"/>
        <v>4.5999999999999999E-3</v>
      </c>
      <c r="S22" s="544">
        <f t="shared" si="38"/>
        <v>1.3978571428571429</v>
      </c>
      <c r="T22" s="544">
        <f t="shared" si="38"/>
        <v>3.1042857142857145</v>
      </c>
      <c r="U22" s="544">
        <f t="shared" si="38"/>
        <v>0.71099999999999985</v>
      </c>
      <c r="V22" s="544">
        <f t="shared" si="38"/>
        <v>2.0814285714285714</v>
      </c>
      <c r="W22" s="544">
        <f t="shared" si="38"/>
        <v>32.692307692307693</v>
      </c>
      <c r="X22" s="544">
        <f t="shared" si="38"/>
        <v>2.5176923076923079E-2</v>
      </c>
      <c r="Y22" s="544">
        <f t="shared" si="38"/>
        <v>1.1538461538461537</v>
      </c>
      <c r="Z22" s="544">
        <f t="shared" si="38"/>
        <v>2.9971428571428578</v>
      </c>
      <c r="AA22" s="544">
        <f t="shared" si="38"/>
        <v>31.076923076923077</v>
      </c>
      <c r="AB22" s="544">
        <f t="shared" si="38"/>
        <v>0.69750000000000012</v>
      </c>
      <c r="AC22" s="545">
        <f t="shared" si="38"/>
        <v>0.58666666666666678</v>
      </c>
      <c r="AD22" s="545">
        <f t="shared" si="38"/>
        <v>8.1272727272727274E-2</v>
      </c>
      <c r="AE22" s="545">
        <f t="shared" si="38"/>
        <v>0.20818181818181813</v>
      </c>
      <c r="AF22" s="545">
        <f t="shared" si="38"/>
        <v>0.8094285714285715</v>
      </c>
      <c r="AG22" s="545">
        <f t="shared" si="38"/>
        <v>2.9999999999999996E-3</v>
      </c>
      <c r="AH22" s="545">
        <f t="shared" si="38"/>
        <v>3.8864285714285716</v>
      </c>
      <c r="AI22" s="545">
        <f t="shared" si="38"/>
        <v>2.891666666666667E-2</v>
      </c>
      <c r="AJ22" s="545">
        <f t="shared" si="38"/>
        <v>4.0166666666666663E-2</v>
      </c>
      <c r="AK22" s="545">
        <f t="shared" si="38"/>
        <v>5.9999999999999993E-3</v>
      </c>
      <c r="AL22" s="545">
        <f t="shared" si="38"/>
        <v>7.7125000000000002E-4</v>
      </c>
      <c r="AM22" s="545">
        <f t="shared" si="38"/>
        <v>3.9333333333333331E-2</v>
      </c>
      <c r="AN22" s="545">
        <f t="shared" si="38"/>
        <v>6.9999999999999999E-4</v>
      </c>
      <c r="AO22" s="545">
        <f t="shared" si="38"/>
        <v>4.0999999999999988E-4</v>
      </c>
      <c r="AP22" s="545">
        <f t="shared" si="38"/>
        <v>3.2700714285714292</v>
      </c>
      <c r="AQ22" s="545" t="e">
        <f t="shared" si="38"/>
        <v>#DIV/0!</v>
      </c>
      <c r="AR22" s="544">
        <f t="shared" si="38"/>
        <v>1.8857142857142857E-2</v>
      </c>
      <c r="AS22" s="544">
        <f t="shared" si="38"/>
        <v>1.2507142857142857</v>
      </c>
      <c r="AT22" s="544">
        <f t="shared" si="38"/>
        <v>0.89928571428571413</v>
      </c>
      <c r="AU22" s="544">
        <f t="shared" si="38"/>
        <v>0.58642857142857141</v>
      </c>
      <c r="AV22" s="544">
        <f t="shared" si="38"/>
        <v>0.97142857142857142</v>
      </c>
      <c r="AW22" s="544">
        <f t="shared" si="38"/>
        <v>1.0064285714285715</v>
      </c>
      <c r="AX22" s="544">
        <f t="shared" si="38"/>
        <v>1.2949999999999999</v>
      </c>
      <c r="AY22" s="544">
        <f t="shared" si="38"/>
        <v>3.8714285714285708E-2</v>
      </c>
      <c r="AZ22" s="544">
        <f t="shared" si="38"/>
        <v>3.7135714285714294</v>
      </c>
      <c r="BA22" s="544">
        <f t="shared" si="38"/>
        <v>1.349285714285714</v>
      </c>
      <c r="BB22" s="544">
        <f t="shared" si="38"/>
        <v>4.0242857142857149</v>
      </c>
      <c r="CD22" s="691">
        <f>AVERAGE(CD7:CD20)</f>
        <v>0.73634185266669994</v>
      </c>
      <c r="CE22" s="691">
        <f>AVERAGE(CE7:CE20)</f>
        <v>1.0840828676872865</v>
      </c>
      <c r="CF22" s="691">
        <f>AVERAGE(CF7:CF20)</f>
        <v>3.6428571428571407E-2</v>
      </c>
      <c r="CG22" s="691">
        <f>AVERAGE(CG7:CG20)</f>
        <v>1.3322857142857143</v>
      </c>
    </row>
    <row r="23" spans="2:85" ht="20.149999999999999" customHeight="1" x14ac:dyDescent="0.2">
      <c r="B23" s="704" t="s">
        <v>94</v>
      </c>
      <c r="C23" s="705"/>
      <c r="D23" s="57"/>
      <c r="E23" s="30">
        <v>1.2E-2</v>
      </c>
      <c r="F23" s="29">
        <v>3.1E-2</v>
      </c>
      <c r="G23" s="29">
        <v>3.9E-2</v>
      </c>
      <c r="H23" s="30">
        <v>6.3E-3</v>
      </c>
      <c r="I23" s="29">
        <v>3.7999999999999999E-2</v>
      </c>
      <c r="J23" s="29">
        <v>6.8999999999999999E-3</v>
      </c>
      <c r="K23" s="29">
        <v>1.4999999999999999E-2</v>
      </c>
      <c r="L23" s="26">
        <v>3.5000000000000003E-2</v>
      </c>
      <c r="M23" s="30" t="s">
        <v>363</v>
      </c>
      <c r="N23" s="29" t="s">
        <v>402</v>
      </c>
      <c r="O23" s="29" t="s">
        <v>379</v>
      </c>
      <c r="P23" s="29" t="s">
        <v>365</v>
      </c>
      <c r="Q23" s="29" t="s">
        <v>349</v>
      </c>
      <c r="R23" s="29" t="s">
        <v>403</v>
      </c>
      <c r="S23" s="29" t="s">
        <v>341</v>
      </c>
      <c r="T23" s="29" t="s">
        <v>377</v>
      </c>
      <c r="U23" s="29" t="s">
        <v>401</v>
      </c>
      <c r="V23" s="29" t="s">
        <v>355</v>
      </c>
      <c r="W23" s="29" t="s">
        <v>387</v>
      </c>
      <c r="X23" s="29" t="s">
        <v>404</v>
      </c>
      <c r="Y23" s="29" t="s">
        <v>346</v>
      </c>
      <c r="Z23" s="29" t="s">
        <v>405</v>
      </c>
      <c r="AA23" s="29" t="s">
        <v>406</v>
      </c>
      <c r="AB23" s="29" t="s">
        <v>407</v>
      </c>
      <c r="AC23" s="29" t="s">
        <v>334</v>
      </c>
      <c r="AD23" s="29" t="s">
        <v>331</v>
      </c>
      <c r="AE23" s="29" t="s">
        <v>356</v>
      </c>
      <c r="AF23" s="29" t="s">
        <v>408</v>
      </c>
      <c r="AG23" s="29" t="s">
        <v>409</v>
      </c>
      <c r="AH23" s="29" t="s">
        <v>410</v>
      </c>
      <c r="AI23" s="29" t="s">
        <v>362</v>
      </c>
      <c r="AJ23" s="29" t="s">
        <v>411</v>
      </c>
      <c r="AK23" s="29" t="s">
        <v>411</v>
      </c>
      <c r="AL23" s="27" t="s">
        <v>412</v>
      </c>
      <c r="AM23" s="58" t="s">
        <v>352</v>
      </c>
      <c r="AN23" s="58" t="s">
        <v>413</v>
      </c>
      <c r="AO23" s="58" t="s">
        <v>414</v>
      </c>
      <c r="AP23" s="59" t="s">
        <v>415</v>
      </c>
      <c r="AQ23" s="60"/>
      <c r="AR23" s="28" t="s">
        <v>372</v>
      </c>
      <c r="AS23" s="30" t="s">
        <v>359</v>
      </c>
      <c r="AT23" s="30" t="s">
        <v>369</v>
      </c>
      <c r="AU23" s="30" t="s">
        <v>416</v>
      </c>
      <c r="AV23" s="30" t="s">
        <v>417</v>
      </c>
      <c r="AW23" s="29" t="s">
        <v>367</v>
      </c>
      <c r="AX23" s="27" t="s">
        <v>384</v>
      </c>
      <c r="AY23" s="27" t="s">
        <v>418</v>
      </c>
      <c r="AZ23" s="27"/>
      <c r="BA23" s="27"/>
      <c r="BB23" s="26"/>
    </row>
    <row r="24" spans="2:85" ht="20.149999999999999" customHeight="1" x14ac:dyDescent="0.2">
      <c r="B24" s="692" t="s">
        <v>95</v>
      </c>
      <c r="C24" s="693"/>
      <c r="D24" s="61"/>
      <c r="E24" s="56">
        <v>4.1000000000000002E-2</v>
      </c>
      <c r="F24" s="55">
        <v>0.1</v>
      </c>
      <c r="G24" s="55">
        <v>0.13</v>
      </c>
      <c r="H24" s="56">
        <v>2.1000000000000001E-2</v>
      </c>
      <c r="I24" s="55">
        <v>0.13</v>
      </c>
      <c r="J24" s="55">
        <v>2.3E-2</v>
      </c>
      <c r="K24" s="55">
        <v>0.05</v>
      </c>
      <c r="L24" s="52">
        <v>0.12</v>
      </c>
      <c r="M24" s="56" t="s">
        <v>361</v>
      </c>
      <c r="N24" s="55" t="s">
        <v>365</v>
      </c>
      <c r="O24" s="55" t="s">
        <v>363</v>
      </c>
      <c r="P24" s="55" t="s">
        <v>419</v>
      </c>
      <c r="Q24" s="55" t="s">
        <v>398</v>
      </c>
      <c r="R24" s="55" t="s">
        <v>345</v>
      </c>
      <c r="S24" s="55" t="s">
        <v>358</v>
      </c>
      <c r="T24" s="55" t="s">
        <v>420</v>
      </c>
      <c r="U24" s="55" t="s">
        <v>354</v>
      </c>
      <c r="V24" s="55" t="s">
        <v>357</v>
      </c>
      <c r="W24" s="55" t="s">
        <v>389</v>
      </c>
      <c r="X24" s="55" t="s">
        <v>376</v>
      </c>
      <c r="Y24" s="55" t="s">
        <v>388</v>
      </c>
      <c r="Z24" s="55" t="s">
        <v>421</v>
      </c>
      <c r="AA24" s="55" t="s">
        <v>326</v>
      </c>
      <c r="AB24" s="55" t="s">
        <v>422</v>
      </c>
      <c r="AC24" s="55" t="s">
        <v>423</v>
      </c>
      <c r="AD24" s="55" t="s">
        <v>369</v>
      </c>
      <c r="AE24" s="55" t="s">
        <v>366</v>
      </c>
      <c r="AF24" s="55" t="s">
        <v>400</v>
      </c>
      <c r="AG24" s="55" t="s">
        <v>375</v>
      </c>
      <c r="AH24" s="55" t="s">
        <v>424</v>
      </c>
      <c r="AI24" s="55" t="s">
        <v>382</v>
      </c>
      <c r="AJ24" s="55" t="s">
        <v>391</v>
      </c>
      <c r="AK24" s="55" t="s">
        <v>425</v>
      </c>
      <c r="AL24" s="53" t="s">
        <v>426</v>
      </c>
      <c r="AM24" s="53" t="s">
        <v>427</v>
      </c>
      <c r="AN24" s="53" t="s">
        <v>428</v>
      </c>
      <c r="AO24" s="53" t="s">
        <v>429</v>
      </c>
      <c r="AP24" s="55" t="s">
        <v>393</v>
      </c>
      <c r="AQ24" s="52"/>
      <c r="AR24" s="54" t="s">
        <v>405</v>
      </c>
      <c r="AS24" s="56" t="s">
        <v>343</v>
      </c>
      <c r="AT24" s="56" t="s">
        <v>329</v>
      </c>
      <c r="AU24" s="56" t="s">
        <v>344</v>
      </c>
      <c r="AV24" s="56" t="s">
        <v>397</v>
      </c>
      <c r="AW24" s="55" t="s">
        <v>356</v>
      </c>
      <c r="AX24" s="53" t="s">
        <v>342</v>
      </c>
      <c r="AY24" s="53" t="s">
        <v>381</v>
      </c>
      <c r="AZ24" s="53"/>
      <c r="BA24" s="53"/>
      <c r="BB24" s="5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23" priority="6" stopIfTrue="1" operator="notBetween">
      <formula>0.8</formula>
      <formula>1.2</formula>
    </cfRule>
  </conditionalFormatting>
  <conditionalFormatting sqref="BC7:BD20">
    <cfRule type="cellIs" dxfId="22" priority="5" stopIfTrue="1" operator="notBetween">
      <formula>0.9</formula>
      <formula>1.1</formula>
    </cfRule>
  </conditionalFormatting>
  <conditionalFormatting sqref="BP7:BP20">
    <cfRule type="cellIs" dxfId="21" priority="3" stopIfTrue="1" operator="notBetween">
      <formula>0.8</formula>
      <formula>1.2</formula>
    </cfRule>
  </conditionalFormatting>
  <conditionalFormatting sqref="CF7:CF20">
    <cfRule type="cellIs" dxfId="20" priority="1" stopIfTrue="1" operator="lessThan">
      <formula>0</formula>
    </cfRule>
  </conditionalFormatting>
  <dataValidations disablePrompts="1"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8" scale="35" orientation="landscape" r:id="rId1"/>
  <ignoredErrors>
    <ignoredError sqref="D2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562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441" t="s">
        <v>563</v>
      </c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442">
        <v>2.5</v>
      </c>
      <c r="E7" s="443" t="s">
        <v>462</v>
      </c>
      <c r="F7" s="444" t="s">
        <v>73</v>
      </c>
      <c r="G7" s="444">
        <v>0.27</v>
      </c>
      <c r="H7" s="445">
        <v>1.0999999999999999E-2</v>
      </c>
      <c r="I7" s="444">
        <v>8.1000000000000003E-2</v>
      </c>
      <c r="J7" s="444">
        <v>1.4999999999999999E-2</v>
      </c>
      <c r="K7" s="444">
        <v>2.0999999999999999E-3</v>
      </c>
      <c r="L7" s="446">
        <v>1.4E-2</v>
      </c>
      <c r="M7" s="443">
        <v>55</v>
      </c>
      <c r="N7" s="444">
        <v>27</v>
      </c>
      <c r="O7" s="447" t="s">
        <v>232</v>
      </c>
      <c r="P7" s="444">
        <v>24</v>
      </c>
      <c r="Q7" s="444" t="s">
        <v>564</v>
      </c>
      <c r="R7" s="444">
        <v>5.4999999999999997E-3</v>
      </c>
      <c r="S7" s="444" t="s">
        <v>565</v>
      </c>
      <c r="T7" s="444">
        <v>0.13</v>
      </c>
      <c r="U7" s="444" t="s">
        <v>218</v>
      </c>
      <c r="V7" s="444">
        <v>2.5</v>
      </c>
      <c r="W7" s="444">
        <v>30</v>
      </c>
      <c r="X7" s="444">
        <v>1.6E-2</v>
      </c>
      <c r="Y7" s="444">
        <v>7.1999999999999995E-2</v>
      </c>
      <c r="Z7" s="444">
        <v>1.5</v>
      </c>
      <c r="AA7" s="444">
        <v>6.5</v>
      </c>
      <c r="AB7" s="444">
        <v>7.4999999999999997E-2</v>
      </c>
      <c r="AC7" s="444" t="s">
        <v>566</v>
      </c>
      <c r="AD7" s="444">
        <v>5.5E-2</v>
      </c>
      <c r="AE7" s="444">
        <v>7.0000000000000007E-2</v>
      </c>
      <c r="AF7" s="444">
        <v>0.28999999999999998</v>
      </c>
      <c r="AG7" s="444">
        <v>6.1000000000000004E-3</v>
      </c>
      <c r="AH7" s="448">
        <v>1</v>
      </c>
      <c r="AI7" s="444">
        <v>9.1999999999999998E-3</v>
      </c>
      <c r="AJ7" s="444" t="s">
        <v>73</v>
      </c>
      <c r="AK7" s="444">
        <v>1.4E-3</v>
      </c>
      <c r="AL7" s="449">
        <v>5.7000000000000002E-3</v>
      </c>
      <c r="AM7" s="449">
        <v>9.1000000000000004E-3</v>
      </c>
      <c r="AN7" s="450" t="s">
        <v>282</v>
      </c>
      <c r="AO7" s="449">
        <v>2.5999999999999999E-3</v>
      </c>
      <c r="AP7" s="444">
        <v>1.5</v>
      </c>
      <c r="AQ7" s="446">
        <v>2.3E-2</v>
      </c>
      <c r="AR7" s="443" t="s">
        <v>298</v>
      </c>
      <c r="AS7" s="445">
        <v>0.23</v>
      </c>
      <c r="AT7" s="445">
        <v>0.46</v>
      </c>
      <c r="AU7" s="445">
        <v>0.22</v>
      </c>
      <c r="AV7" s="445" t="s">
        <v>529</v>
      </c>
      <c r="AW7" s="444">
        <v>0.24</v>
      </c>
      <c r="AX7" s="449">
        <v>8.1000000000000003E-2</v>
      </c>
      <c r="AY7" s="449">
        <v>2.8000000000000001E-2</v>
      </c>
      <c r="AZ7" s="449">
        <v>0.91</v>
      </c>
      <c r="BA7" s="449">
        <v>0.35</v>
      </c>
      <c r="BB7" s="451" t="s">
        <v>282</v>
      </c>
      <c r="BC7" s="619">
        <f>SUM(AR7:AV7)/AZ7</f>
        <v>1</v>
      </c>
      <c r="BD7" s="610" t="e">
        <f>(SUM(AW7:AY7)-AV7)/BA7</f>
        <v>#VALUE!</v>
      </c>
      <c r="BF7" s="610" t="e">
        <f>E7/35.5</f>
        <v>#VALUE!</v>
      </c>
      <c r="BG7" s="610" t="e">
        <f>F7/62</f>
        <v>#VALUE!</v>
      </c>
      <c r="BH7" s="610">
        <f>G7/(96/2)</f>
        <v>5.6250000000000007E-3</v>
      </c>
      <c r="BI7" s="610">
        <f>H7/23</f>
        <v>4.7826086956521735E-4</v>
      </c>
      <c r="BJ7" s="610">
        <f>I7/18</f>
        <v>4.5000000000000005E-3</v>
      </c>
      <c r="BK7" s="610">
        <f>J7/39</f>
        <v>3.8461538461538462E-4</v>
      </c>
      <c r="BL7" s="610">
        <f>K7/(24.3/2)</f>
        <v>1.728395061728395E-4</v>
      </c>
      <c r="BM7" s="610">
        <f>L7/(40/2)</f>
        <v>6.9999999999999999E-4</v>
      </c>
      <c r="BN7" s="563" t="e">
        <f>SUM(BF7:BH7)*1000</f>
        <v>#VALUE!</v>
      </c>
      <c r="BO7" s="563">
        <f>SUM(BI7:BM7)*1000</f>
        <v>6.2357157603534414</v>
      </c>
      <c r="BP7" s="611" t="e">
        <f>BN7/BO7</f>
        <v>#VALUE!</v>
      </c>
      <c r="BR7" s="564">
        <f>1.375*G7</f>
        <v>0.37125000000000002</v>
      </c>
      <c r="BS7" s="564" t="e">
        <f>1.29*F7</f>
        <v>#VALUE!</v>
      </c>
      <c r="BT7" s="564">
        <f>2.5*H7</f>
        <v>2.7499999999999997E-2</v>
      </c>
      <c r="BU7" s="564">
        <f>1.6*AZ7</f>
        <v>1.4560000000000002</v>
      </c>
      <c r="BV7" s="564">
        <f>BA7</f>
        <v>0.35</v>
      </c>
      <c r="BW7" s="564">
        <f>9.19/1000*N7</f>
        <v>0.24813000000000002</v>
      </c>
      <c r="BX7" s="564" t="e">
        <f t="shared" ref="BX7:BX20" si="0">Q7/1000*1.4</f>
        <v>#VALUE!</v>
      </c>
      <c r="BY7" s="564">
        <f>W7/1000*1.38</f>
        <v>4.1399999999999992E-2</v>
      </c>
      <c r="BZ7" s="564" t="e">
        <f>S7/1000*1.67</f>
        <v>#VALUE!</v>
      </c>
      <c r="CA7" s="564" t="e">
        <f>SUM(BR7:BZ7)</f>
        <v>#VALUE!</v>
      </c>
      <c r="CB7" s="611" t="e">
        <f>CA7/D7</f>
        <v>#VALUE!</v>
      </c>
      <c r="CD7" s="610">
        <f>AZ7/(AZ7+BA7)</f>
        <v>0.72222222222222221</v>
      </c>
      <c r="CE7" s="610" t="e">
        <f>BB7/AZ7</f>
        <v>#VALUE!</v>
      </c>
      <c r="CF7" s="610" t="e">
        <f t="shared" ref="CF7:CF12" si="1">IF(AW7-AV7&gt;0,AW7-AV7,0)</f>
        <v>#VALUE!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452">
        <v>3.3</v>
      </c>
      <c r="E8" s="453" t="s">
        <v>462</v>
      </c>
      <c r="F8" s="454">
        <v>7.5999999999999998E-2</v>
      </c>
      <c r="G8" s="454">
        <v>0.42</v>
      </c>
      <c r="H8" s="455">
        <v>9.4999999999999998E-3</v>
      </c>
      <c r="I8" s="454">
        <v>0.16</v>
      </c>
      <c r="J8" s="454">
        <v>1.6E-2</v>
      </c>
      <c r="K8" s="454">
        <v>1.5E-3</v>
      </c>
      <c r="L8" s="456">
        <v>1.2E-2</v>
      </c>
      <c r="M8" s="453" t="s">
        <v>567</v>
      </c>
      <c r="N8" s="454">
        <v>9.8000000000000007</v>
      </c>
      <c r="O8" s="457" t="s">
        <v>232</v>
      </c>
      <c r="P8" s="454">
        <v>10</v>
      </c>
      <c r="Q8" s="454" t="s">
        <v>564</v>
      </c>
      <c r="R8" s="454">
        <v>2.5000000000000001E-3</v>
      </c>
      <c r="S8" s="454" t="s">
        <v>565</v>
      </c>
      <c r="T8" s="454">
        <v>0.09</v>
      </c>
      <c r="U8" s="454" t="s">
        <v>218</v>
      </c>
      <c r="V8" s="454">
        <v>3.1</v>
      </c>
      <c r="W8" s="454">
        <v>28</v>
      </c>
      <c r="X8" s="454">
        <v>1.6E-2</v>
      </c>
      <c r="Y8" s="454">
        <v>0.12</v>
      </c>
      <c r="Z8" s="454">
        <v>1.6</v>
      </c>
      <c r="AA8" s="454">
        <v>5.7</v>
      </c>
      <c r="AB8" s="454">
        <v>0.12</v>
      </c>
      <c r="AC8" s="454">
        <v>0.14000000000000001</v>
      </c>
      <c r="AD8" s="454">
        <v>4.9000000000000002E-2</v>
      </c>
      <c r="AE8" s="458">
        <v>0.1</v>
      </c>
      <c r="AF8" s="454">
        <v>0.74</v>
      </c>
      <c r="AG8" s="454">
        <v>3.8E-3</v>
      </c>
      <c r="AH8" s="459">
        <v>1</v>
      </c>
      <c r="AI8" s="454" t="s">
        <v>568</v>
      </c>
      <c r="AJ8" s="454" t="s">
        <v>73</v>
      </c>
      <c r="AK8" s="454">
        <v>8.0999999999999996E-4</v>
      </c>
      <c r="AL8" s="460">
        <v>2.7000000000000001E-3</v>
      </c>
      <c r="AM8" s="460">
        <v>0.11</v>
      </c>
      <c r="AN8" s="461" t="s">
        <v>282</v>
      </c>
      <c r="AO8" s="460">
        <v>1.1000000000000001E-3</v>
      </c>
      <c r="AP8" s="454">
        <v>1.5</v>
      </c>
      <c r="AQ8" s="456">
        <v>2.9000000000000001E-2</v>
      </c>
      <c r="AR8" s="453" t="s">
        <v>298</v>
      </c>
      <c r="AS8" s="455">
        <v>0.22</v>
      </c>
      <c r="AT8" s="455">
        <v>0.46</v>
      </c>
      <c r="AU8" s="455">
        <v>0.22</v>
      </c>
      <c r="AV8" s="455" t="s">
        <v>529</v>
      </c>
      <c r="AW8" s="454">
        <v>0.33</v>
      </c>
      <c r="AX8" s="460">
        <v>0.16</v>
      </c>
      <c r="AY8" s="460">
        <v>5.8999999999999997E-2</v>
      </c>
      <c r="AZ8" s="462">
        <v>0.9</v>
      </c>
      <c r="BA8" s="460">
        <v>0.55000000000000004</v>
      </c>
      <c r="BB8" s="463" t="s">
        <v>282</v>
      </c>
      <c r="BC8" s="619">
        <f t="shared" ref="BC8:BC20" si="3">SUM(AR8:AV8)/AZ8</f>
        <v>1</v>
      </c>
      <c r="BD8" s="610" t="e">
        <f t="shared" ref="BD8:BD20" si="4">(SUM(AW8:AY8)-AV8)/BA8</f>
        <v>#VALUE!</v>
      </c>
      <c r="BF8" s="610" t="e">
        <f t="shared" ref="BF8:BF20" si="5">E8/35.5</f>
        <v>#VALUE!</v>
      </c>
      <c r="BG8" s="610">
        <f t="shared" ref="BG8:BG20" si="6">F8/62</f>
        <v>1.2258064516129032E-3</v>
      </c>
      <c r="BH8" s="610">
        <f t="shared" ref="BH8:BH20" si="7">G8/(96/2)</f>
        <v>8.7499999999999991E-3</v>
      </c>
      <c r="BI8" s="610">
        <f t="shared" ref="BI8:BI20" si="8">H8/23</f>
        <v>4.1304347826086953E-4</v>
      </c>
      <c r="BJ8" s="610">
        <f t="shared" ref="BJ8:BJ20" si="9">I8/18</f>
        <v>8.8888888888888889E-3</v>
      </c>
      <c r="BK8" s="610">
        <f t="shared" ref="BK8:BK20" si="10">J8/39</f>
        <v>4.1025641025641029E-4</v>
      </c>
      <c r="BL8" s="610">
        <f t="shared" ref="BL8:BL20" si="11">K8/(24.3/2)</f>
        <v>1.2345679012345679E-4</v>
      </c>
      <c r="BM8" s="610">
        <f t="shared" ref="BM8:BM20" si="12">L8/(40/2)</f>
        <v>6.0000000000000006E-4</v>
      </c>
      <c r="BN8" s="563" t="e">
        <f t="shared" ref="BN8:BN20" si="13">SUM(BF8:BH8)*1000</f>
        <v>#VALUE!</v>
      </c>
      <c r="BO8" s="563">
        <f t="shared" ref="BO8:BO20" si="14">SUM(BI8:BM8)*1000</f>
        <v>10.435645567529626</v>
      </c>
      <c r="BP8" s="611" t="e">
        <f t="shared" ref="BP8:BP20" si="15">BN8/BO8</f>
        <v>#VALUE!</v>
      </c>
      <c r="BR8" s="564">
        <f t="shared" ref="BR8:BR20" si="16">1.375*G8</f>
        <v>0.57750000000000001</v>
      </c>
      <c r="BS8" s="564">
        <f t="shared" ref="BS8:BS20" si="17">1.29*F8</f>
        <v>9.8040000000000002E-2</v>
      </c>
      <c r="BT8" s="564">
        <f t="shared" ref="BT8:BT20" si="18">2.5*H8</f>
        <v>2.375E-2</v>
      </c>
      <c r="BU8" s="564">
        <f t="shared" ref="BU8:BU20" si="19">1.6*AZ8</f>
        <v>1.4400000000000002</v>
      </c>
      <c r="BV8" s="564">
        <f t="shared" ref="BV8:BV20" si="20">BA8</f>
        <v>0.55000000000000004</v>
      </c>
      <c r="BW8" s="564">
        <f t="shared" ref="BW8:BW20" si="21">9.19/1000*N8</f>
        <v>9.0062000000000003E-2</v>
      </c>
      <c r="BX8" s="564" t="e">
        <f t="shared" si="0"/>
        <v>#VALUE!</v>
      </c>
      <c r="BY8" s="564">
        <f t="shared" ref="BY8:BY20" si="22">W8/1000*1.38</f>
        <v>3.8640000000000001E-2</v>
      </c>
      <c r="BZ8" s="564" t="e">
        <f t="shared" ref="BZ8:BZ20" si="23">S8/1000*1.67</f>
        <v>#VALUE!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0.6206896551724137</v>
      </c>
      <c r="CE8" s="610" t="e">
        <f t="shared" ref="CE8:CE20" si="27">BB8/AZ8</f>
        <v>#VALUE!</v>
      </c>
      <c r="CF8" s="610" t="e">
        <f t="shared" si="1"/>
        <v>#VALUE!</v>
      </c>
      <c r="CG8" s="610" t="e">
        <f t="shared" si="2"/>
        <v>#VALUE!</v>
      </c>
    </row>
    <row r="9" spans="2:85" ht="20.149999999999999" customHeight="1" x14ac:dyDescent="0.2">
      <c r="B9" s="31" t="s">
        <v>61</v>
      </c>
      <c r="C9" s="37" t="s">
        <v>200</v>
      </c>
      <c r="D9" s="452">
        <v>9.3000000000000007</v>
      </c>
      <c r="E9" s="453">
        <v>1.4999999999999999E-2</v>
      </c>
      <c r="F9" s="454">
        <v>9.1999999999999998E-2</v>
      </c>
      <c r="G9" s="459">
        <v>2</v>
      </c>
      <c r="H9" s="455">
        <v>6.0999999999999999E-2</v>
      </c>
      <c r="I9" s="454">
        <v>0.68</v>
      </c>
      <c r="J9" s="454">
        <v>8.2000000000000003E-2</v>
      </c>
      <c r="K9" s="454">
        <v>1.7000000000000001E-2</v>
      </c>
      <c r="L9" s="456">
        <v>2.1999999999999999E-2</v>
      </c>
      <c r="M9" s="453">
        <v>70</v>
      </c>
      <c r="N9" s="454">
        <v>38</v>
      </c>
      <c r="O9" s="457" t="s">
        <v>232</v>
      </c>
      <c r="P9" s="454">
        <v>92</v>
      </c>
      <c r="Q9" s="454" t="s">
        <v>564</v>
      </c>
      <c r="R9" s="454">
        <v>3.8999999999999998E-3</v>
      </c>
      <c r="S9" s="454">
        <v>10</v>
      </c>
      <c r="T9" s="454">
        <v>0.65</v>
      </c>
      <c r="U9" s="458">
        <v>0.8</v>
      </c>
      <c r="V9" s="454">
        <v>3.1</v>
      </c>
      <c r="W9" s="454">
        <v>31</v>
      </c>
      <c r="X9" s="454">
        <v>2.3E-2</v>
      </c>
      <c r="Y9" s="454">
        <v>0.36</v>
      </c>
      <c r="Z9" s="454">
        <v>3.4</v>
      </c>
      <c r="AA9" s="454">
        <v>9.9</v>
      </c>
      <c r="AB9" s="454">
        <v>0.33</v>
      </c>
      <c r="AC9" s="454">
        <v>0.22</v>
      </c>
      <c r="AD9" s="454">
        <v>9.7000000000000003E-2</v>
      </c>
      <c r="AE9" s="454">
        <v>0.34</v>
      </c>
      <c r="AF9" s="454">
        <v>0.88</v>
      </c>
      <c r="AG9" s="454">
        <v>6.4999999999999997E-3</v>
      </c>
      <c r="AH9" s="454">
        <v>8.3000000000000007</v>
      </c>
      <c r="AI9" s="454">
        <v>1.4999999999999999E-2</v>
      </c>
      <c r="AJ9" s="454">
        <v>2.3E-2</v>
      </c>
      <c r="AK9" s="464">
        <v>1E-3</v>
      </c>
      <c r="AL9" s="460">
        <v>6.3E-3</v>
      </c>
      <c r="AM9" s="460">
        <v>0.14000000000000001</v>
      </c>
      <c r="AN9" s="461" t="s">
        <v>282</v>
      </c>
      <c r="AO9" s="460">
        <v>2.7000000000000001E-3</v>
      </c>
      <c r="AP9" s="454">
        <v>1.3</v>
      </c>
      <c r="AQ9" s="456">
        <v>3.5999999999999997E-2</v>
      </c>
      <c r="AR9" s="453" t="s">
        <v>298</v>
      </c>
      <c r="AS9" s="455">
        <v>0.46</v>
      </c>
      <c r="AT9" s="465">
        <v>0.8</v>
      </c>
      <c r="AU9" s="455">
        <v>0.34</v>
      </c>
      <c r="AV9" s="465">
        <v>0.5</v>
      </c>
      <c r="AW9" s="454">
        <v>0.82</v>
      </c>
      <c r="AX9" s="460">
        <v>0.26</v>
      </c>
      <c r="AY9" s="460">
        <v>6.7000000000000004E-2</v>
      </c>
      <c r="AZ9" s="460">
        <v>2.1</v>
      </c>
      <c r="BA9" s="460">
        <v>0.65</v>
      </c>
      <c r="BB9" s="463" t="s">
        <v>282</v>
      </c>
      <c r="BC9" s="619">
        <f t="shared" si="3"/>
        <v>1</v>
      </c>
      <c r="BD9" s="610">
        <f t="shared" si="4"/>
        <v>0.99538461538461542</v>
      </c>
      <c r="BF9" s="610">
        <f t="shared" si="5"/>
        <v>4.225352112676056E-4</v>
      </c>
      <c r="BG9" s="610">
        <f t="shared" si="6"/>
        <v>1.4838709677419354E-3</v>
      </c>
      <c r="BH9" s="610">
        <f t="shared" si="7"/>
        <v>4.1666666666666664E-2</v>
      </c>
      <c r="BI9" s="610">
        <f t="shared" si="8"/>
        <v>2.6521739130434784E-3</v>
      </c>
      <c r="BJ9" s="610">
        <f t="shared" si="9"/>
        <v>3.7777777777777778E-2</v>
      </c>
      <c r="BK9" s="610">
        <f t="shared" si="10"/>
        <v>2.1025641025641025E-3</v>
      </c>
      <c r="BL9" s="610">
        <f t="shared" si="11"/>
        <v>1.3991769547325103E-3</v>
      </c>
      <c r="BM9" s="610">
        <f t="shared" si="12"/>
        <v>1.0999999999999998E-3</v>
      </c>
      <c r="BN9" s="563">
        <f t="shared" si="13"/>
        <v>43.573072845676208</v>
      </c>
      <c r="BO9" s="563">
        <f t="shared" si="14"/>
        <v>45.031692748117862</v>
      </c>
      <c r="BP9" s="611">
        <f t="shared" si="15"/>
        <v>0.96760903680435995</v>
      </c>
      <c r="BR9" s="564">
        <f t="shared" si="16"/>
        <v>2.75</v>
      </c>
      <c r="BS9" s="564">
        <f t="shared" si="17"/>
        <v>0.11868000000000001</v>
      </c>
      <c r="BT9" s="564">
        <f t="shared" si="18"/>
        <v>0.1525</v>
      </c>
      <c r="BU9" s="564">
        <f t="shared" si="19"/>
        <v>3.3600000000000003</v>
      </c>
      <c r="BV9" s="564">
        <f t="shared" si="20"/>
        <v>0.65</v>
      </c>
      <c r="BW9" s="564">
        <f t="shared" si="21"/>
        <v>0.34922000000000003</v>
      </c>
      <c r="BX9" s="564" t="e">
        <f t="shared" si="0"/>
        <v>#VALUE!</v>
      </c>
      <c r="BY9" s="564">
        <f t="shared" si="22"/>
        <v>4.2779999999999999E-2</v>
      </c>
      <c r="BZ9" s="564">
        <f t="shared" si="23"/>
        <v>1.67E-2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0.76363636363636367</v>
      </c>
      <c r="CE9" s="610" t="e">
        <f t="shared" si="27"/>
        <v>#VALUE!</v>
      </c>
      <c r="CF9" s="610">
        <f t="shared" si="1"/>
        <v>0.31999999999999995</v>
      </c>
      <c r="CG9" s="610">
        <f t="shared" si="2"/>
        <v>0.32700000000000001</v>
      </c>
    </row>
    <row r="10" spans="2:85" ht="20.149999999999999" customHeight="1" x14ac:dyDescent="0.2">
      <c r="B10" s="31" t="s">
        <v>61</v>
      </c>
      <c r="C10" s="32" t="s">
        <v>82</v>
      </c>
      <c r="D10" s="452">
        <v>15.9</v>
      </c>
      <c r="E10" s="453">
        <v>1.0999999999999999E-2</v>
      </c>
      <c r="F10" s="466">
        <v>0.08</v>
      </c>
      <c r="G10" s="454">
        <v>2.7</v>
      </c>
      <c r="H10" s="455">
        <v>4.5999999999999999E-2</v>
      </c>
      <c r="I10" s="454">
        <v>0.93</v>
      </c>
      <c r="J10" s="454">
        <v>0.11</v>
      </c>
      <c r="K10" s="454">
        <v>1.2999999999999999E-2</v>
      </c>
      <c r="L10" s="456">
        <v>2.1999999999999999E-2</v>
      </c>
      <c r="M10" s="453">
        <v>67</v>
      </c>
      <c r="N10" s="454">
        <v>40</v>
      </c>
      <c r="O10" s="457" t="s">
        <v>232</v>
      </c>
      <c r="P10" s="454">
        <v>140</v>
      </c>
      <c r="Q10" s="454">
        <v>30</v>
      </c>
      <c r="R10" s="454">
        <v>6.3E-3</v>
      </c>
      <c r="S10" s="454" t="s">
        <v>565</v>
      </c>
      <c r="T10" s="454">
        <v>1.2</v>
      </c>
      <c r="U10" s="454">
        <v>0.84</v>
      </c>
      <c r="V10" s="454">
        <v>3.5</v>
      </c>
      <c r="W10" s="454">
        <v>46</v>
      </c>
      <c r="X10" s="454">
        <v>2.1999999999999999E-2</v>
      </c>
      <c r="Y10" s="454">
        <v>0.53</v>
      </c>
      <c r="Z10" s="454">
        <v>5.4</v>
      </c>
      <c r="AA10" s="454">
        <v>10</v>
      </c>
      <c r="AB10" s="454">
        <v>0.38</v>
      </c>
      <c r="AC10" s="454">
        <v>0.39</v>
      </c>
      <c r="AD10" s="454">
        <v>0.14000000000000001</v>
      </c>
      <c r="AE10" s="454">
        <v>0.26</v>
      </c>
      <c r="AF10" s="454">
        <v>0.78</v>
      </c>
      <c r="AG10" s="454">
        <v>1.2E-2</v>
      </c>
      <c r="AH10" s="454">
        <v>9.1999999999999993</v>
      </c>
      <c r="AI10" s="454">
        <v>2.8000000000000001E-2</v>
      </c>
      <c r="AJ10" s="454">
        <v>4.9000000000000002E-2</v>
      </c>
      <c r="AK10" s="454">
        <v>1.6999999999999999E-3</v>
      </c>
      <c r="AL10" s="460">
        <v>6.7000000000000002E-3</v>
      </c>
      <c r="AM10" s="460">
        <v>9.2999999999999999E-2</v>
      </c>
      <c r="AN10" s="461" t="s">
        <v>282</v>
      </c>
      <c r="AO10" s="460">
        <v>3.3999999999999998E-3</v>
      </c>
      <c r="AP10" s="454">
        <v>2.2999999999999998</v>
      </c>
      <c r="AQ10" s="456">
        <v>6.7000000000000004E-2</v>
      </c>
      <c r="AR10" s="453" t="s">
        <v>298</v>
      </c>
      <c r="AS10" s="465">
        <v>0.7</v>
      </c>
      <c r="AT10" s="455">
        <v>1.6</v>
      </c>
      <c r="AU10" s="455">
        <v>0.53</v>
      </c>
      <c r="AV10" s="455">
        <v>1.2</v>
      </c>
      <c r="AW10" s="454">
        <v>1.5</v>
      </c>
      <c r="AX10" s="460">
        <v>0.48</v>
      </c>
      <c r="AY10" s="460">
        <v>0.13</v>
      </c>
      <c r="AZ10" s="452">
        <v>4</v>
      </c>
      <c r="BA10" s="460">
        <v>0.91</v>
      </c>
      <c r="BB10" s="463" t="s">
        <v>282</v>
      </c>
      <c r="BC10" s="619">
        <f t="shared" si="3"/>
        <v>1.0075000000000001</v>
      </c>
      <c r="BD10" s="610">
        <f t="shared" si="4"/>
        <v>0.99999999999999989</v>
      </c>
      <c r="BF10" s="610">
        <f t="shared" si="5"/>
        <v>3.0985915492957747E-4</v>
      </c>
      <c r="BG10" s="610">
        <f t="shared" si="6"/>
        <v>1.2903225806451613E-3</v>
      </c>
      <c r="BH10" s="610">
        <f t="shared" si="7"/>
        <v>5.6250000000000001E-2</v>
      </c>
      <c r="BI10" s="610">
        <f t="shared" si="8"/>
        <v>2E-3</v>
      </c>
      <c r="BJ10" s="610">
        <f t="shared" si="9"/>
        <v>5.1666666666666666E-2</v>
      </c>
      <c r="BK10" s="610">
        <f t="shared" si="10"/>
        <v>2.8205128205128207E-3</v>
      </c>
      <c r="BL10" s="610">
        <f t="shared" si="11"/>
        <v>1.0699588477366254E-3</v>
      </c>
      <c r="BM10" s="610">
        <f t="shared" si="12"/>
        <v>1.0999999999999998E-3</v>
      </c>
      <c r="BN10" s="563">
        <f t="shared" si="13"/>
        <v>57.850181735574743</v>
      </c>
      <c r="BO10" s="563">
        <f t="shared" si="14"/>
        <v>58.657138334916112</v>
      </c>
      <c r="BP10" s="611">
        <f t="shared" si="15"/>
        <v>0.98624282359746451</v>
      </c>
      <c r="BR10" s="564">
        <f t="shared" si="16"/>
        <v>3.7125000000000004</v>
      </c>
      <c r="BS10" s="564">
        <f t="shared" si="17"/>
        <v>0.1032</v>
      </c>
      <c r="BT10" s="564">
        <f t="shared" si="18"/>
        <v>0.11499999999999999</v>
      </c>
      <c r="BU10" s="564">
        <f t="shared" si="19"/>
        <v>6.4</v>
      </c>
      <c r="BV10" s="564">
        <f t="shared" si="20"/>
        <v>0.91</v>
      </c>
      <c r="BW10" s="564">
        <f t="shared" si="21"/>
        <v>0.36760000000000004</v>
      </c>
      <c r="BX10" s="564">
        <f t="shared" si="0"/>
        <v>4.1999999999999996E-2</v>
      </c>
      <c r="BY10" s="564">
        <f t="shared" si="22"/>
        <v>6.3479999999999995E-2</v>
      </c>
      <c r="BZ10" s="564" t="e">
        <f t="shared" si="23"/>
        <v>#VALUE!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0.81466395112016288</v>
      </c>
      <c r="CE10" s="610" t="e">
        <f t="shared" si="27"/>
        <v>#VALUE!</v>
      </c>
      <c r="CF10" s="610">
        <f t="shared" si="1"/>
        <v>0.30000000000000004</v>
      </c>
      <c r="CG10" s="610">
        <f t="shared" si="2"/>
        <v>0.61</v>
      </c>
    </row>
    <row r="11" spans="2:85" ht="20.149999999999999" customHeight="1" thickBot="1" x14ac:dyDescent="0.25">
      <c r="B11" s="39" t="s">
        <v>61</v>
      </c>
      <c r="C11" s="40" t="s">
        <v>201</v>
      </c>
      <c r="D11" s="467">
        <v>16.8</v>
      </c>
      <c r="E11" s="468">
        <v>9.2999999999999992E-3</v>
      </c>
      <c r="F11" s="469">
        <v>7.4999999999999997E-2</v>
      </c>
      <c r="G11" s="469">
        <v>2.4</v>
      </c>
      <c r="H11" s="470">
        <v>4.8000000000000001E-2</v>
      </c>
      <c r="I11" s="469">
        <v>0.85</v>
      </c>
      <c r="J11" s="469">
        <v>6.9000000000000006E-2</v>
      </c>
      <c r="K11" s="469">
        <v>1.0999999999999999E-2</v>
      </c>
      <c r="L11" s="471">
        <v>2.1999999999999999E-2</v>
      </c>
      <c r="M11" s="468">
        <v>74</v>
      </c>
      <c r="N11" s="469">
        <v>37</v>
      </c>
      <c r="O11" s="472" t="s">
        <v>232</v>
      </c>
      <c r="P11" s="469">
        <v>93</v>
      </c>
      <c r="Q11" s="469">
        <v>34</v>
      </c>
      <c r="R11" s="469">
        <v>7.1999999999999998E-3</v>
      </c>
      <c r="S11" s="469">
        <v>5.3</v>
      </c>
      <c r="T11" s="469">
        <v>1.2</v>
      </c>
      <c r="U11" s="469">
        <v>0.88</v>
      </c>
      <c r="V11" s="473">
        <v>3</v>
      </c>
      <c r="W11" s="469">
        <v>50</v>
      </c>
      <c r="X11" s="474">
        <v>0.02</v>
      </c>
      <c r="Y11" s="469">
        <v>0.55000000000000004</v>
      </c>
      <c r="Z11" s="469">
        <v>5</v>
      </c>
      <c r="AA11" s="469">
        <v>12</v>
      </c>
      <c r="AB11" s="469">
        <v>0.6</v>
      </c>
      <c r="AC11" s="469">
        <v>0.46</v>
      </c>
      <c r="AD11" s="469">
        <v>0.16</v>
      </c>
      <c r="AE11" s="469">
        <v>0.27</v>
      </c>
      <c r="AF11" s="469">
        <v>1.5</v>
      </c>
      <c r="AG11" s="469">
        <v>2.1000000000000001E-2</v>
      </c>
      <c r="AH11" s="469">
        <v>5.4</v>
      </c>
      <c r="AI11" s="469">
        <v>3.1E-2</v>
      </c>
      <c r="AJ11" s="469">
        <v>5.7000000000000002E-2</v>
      </c>
      <c r="AK11" s="469">
        <v>2.3999999999999998E-3</v>
      </c>
      <c r="AL11" s="475">
        <v>1.2E-2</v>
      </c>
      <c r="AM11" s="475">
        <v>8.7999999999999995E-2</v>
      </c>
      <c r="AN11" s="476" t="s">
        <v>282</v>
      </c>
      <c r="AO11" s="475">
        <v>3.3E-3</v>
      </c>
      <c r="AP11" s="469">
        <v>2.8</v>
      </c>
      <c r="AQ11" s="477">
        <v>0.1</v>
      </c>
      <c r="AR11" s="468" t="s">
        <v>298</v>
      </c>
      <c r="AS11" s="470">
        <v>0.79</v>
      </c>
      <c r="AT11" s="470">
        <v>1.7</v>
      </c>
      <c r="AU11" s="478">
        <v>0.6</v>
      </c>
      <c r="AV11" s="470">
        <v>1.3</v>
      </c>
      <c r="AW11" s="469">
        <v>1.4</v>
      </c>
      <c r="AX11" s="475">
        <v>0.49</v>
      </c>
      <c r="AY11" s="475">
        <v>0.14000000000000001</v>
      </c>
      <c r="AZ11" s="475">
        <v>4.4000000000000004</v>
      </c>
      <c r="BA11" s="475">
        <v>0.73</v>
      </c>
      <c r="BB11" s="479" t="s">
        <v>282</v>
      </c>
      <c r="BC11" s="620">
        <f t="shared" si="3"/>
        <v>0.9977272727272728</v>
      </c>
      <c r="BD11" s="617">
        <f t="shared" si="4"/>
        <v>0.99999999999999967</v>
      </c>
      <c r="BE11" s="616"/>
      <c r="BF11" s="617">
        <f t="shared" si="5"/>
        <v>2.619718309859155E-4</v>
      </c>
      <c r="BG11" s="617">
        <f t="shared" si="6"/>
        <v>1.2096774193548388E-3</v>
      </c>
      <c r="BH11" s="617">
        <f t="shared" si="7"/>
        <v>4.9999999999999996E-2</v>
      </c>
      <c r="BI11" s="617">
        <f t="shared" si="8"/>
        <v>2.0869565217391307E-3</v>
      </c>
      <c r="BJ11" s="617">
        <f t="shared" si="9"/>
        <v>4.7222222222222221E-2</v>
      </c>
      <c r="BK11" s="617">
        <f t="shared" si="10"/>
        <v>1.7692307692307695E-3</v>
      </c>
      <c r="BL11" s="617">
        <f t="shared" si="11"/>
        <v>9.0534979423868302E-4</v>
      </c>
      <c r="BM11" s="617">
        <f t="shared" si="12"/>
        <v>1.0999999999999998E-3</v>
      </c>
      <c r="BN11" s="621">
        <f t="shared" si="13"/>
        <v>51.471649250340747</v>
      </c>
      <c r="BO11" s="621">
        <f t="shared" si="14"/>
        <v>53.083759307430796</v>
      </c>
      <c r="BP11" s="618">
        <f t="shared" si="15"/>
        <v>0.96963082347364227</v>
      </c>
      <c r="BQ11" s="616"/>
      <c r="BR11" s="615">
        <f t="shared" si="16"/>
        <v>3.3</v>
      </c>
      <c r="BS11" s="615">
        <f t="shared" si="17"/>
        <v>9.6750000000000003E-2</v>
      </c>
      <c r="BT11" s="615">
        <f t="shared" si="18"/>
        <v>0.12</v>
      </c>
      <c r="BU11" s="615">
        <f t="shared" si="19"/>
        <v>7.0400000000000009</v>
      </c>
      <c r="BV11" s="615">
        <f t="shared" si="20"/>
        <v>0.73</v>
      </c>
      <c r="BW11" s="615">
        <f t="shared" si="21"/>
        <v>0.34003</v>
      </c>
      <c r="BX11" s="615">
        <f t="shared" si="0"/>
        <v>4.7600000000000003E-2</v>
      </c>
      <c r="BY11" s="615">
        <f t="shared" si="22"/>
        <v>6.8999999999999992E-2</v>
      </c>
      <c r="BZ11" s="615">
        <f t="shared" si="23"/>
        <v>8.8509999999999995E-3</v>
      </c>
      <c r="CA11" s="615">
        <f t="shared" si="24"/>
        <v>11.752231000000002</v>
      </c>
      <c r="CB11" s="618">
        <f t="shared" si="25"/>
        <v>0.69953755952380958</v>
      </c>
      <c r="CC11" s="617"/>
      <c r="CD11" s="617">
        <f t="shared" si="26"/>
        <v>0.85769980506822607</v>
      </c>
      <c r="CE11" s="617" t="e">
        <f t="shared" si="27"/>
        <v>#VALUE!</v>
      </c>
      <c r="CF11" s="617">
        <f t="shared" si="1"/>
        <v>9.9999999999999867E-2</v>
      </c>
      <c r="CG11" s="617">
        <f t="shared" si="2"/>
        <v>0.63</v>
      </c>
    </row>
    <row r="12" spans="2:85" ht="20.149999999999999" customHeight="1" x14ac:dyDescent="0.2">
      <c r="B12" s="31" t="s">
        <v>202</v>
      </c>
      <c r="C12" s="46" t="s">
        <v>203</v>
      </c>
      <c r="D12" s="480">
        <v>12.7</v>
      </c>
      <c r="E12" s="481">
        <v>0.01</v>
      </c>
      <c r="F12" s="482">
        <v>0.13</v>
      </c>
      <c r="G12" s="482">
        <v>1.7</v>
      </c>
      <c r="H12" s="483">
        <v>0.05</v>
      </c>
      <c r="I12" s="482">
        <v>0.66</v>
      </c>
      <c r="J12" s="482">
        <v>5.1999999999999998E-2</v>
      </c>
      <c r="K12" s="482">
        <v>8.6999999999999994E-3</v>
      </c>
      <c r="L12" s="484">
        <v>2.8000000000000001E-2</v>
      </c>
      <c r="M12" s="485">
        <v>85</v>
      </c>
      <c r="N12" s="482">
        <v>43</v>
      </c>
      <c r="O12" s="486" t="s">
        <v>232</v>
      </c>
      <c r="P12" s="482">
        <v>78</v>
      </c>
      <c r="Q12" s="482">
        <v>41</v>
      </c>
      <c r="R12" s="482">
        <v>7.3000000000000001E-3</v>
      </c>
      <c r="S12" s="665">
        <f>0.5*3.6</f>
        <v>1.8</v>
      </c>
      <c r="T12" s="482">
        <v>0.96</v>
      </c>
      <c r="U12" s="665">
        <f>0.5*0.72</f>
        <v>0.36</v>
      </c>
      <c r="V12" s="482">
        <v>3.7</v>
      </c>
      <c r="W12" s="482">
        <v>47</v>
      </c>
      <c r="X12" s="482">
        <v>1.7000000000000001E-2</v>
      </c>
      <c r="Y12" s="482">
        <v>0.47</v>
      </c>
      <c r="Z12" s="482">
        <v>3.4</v>
      </c>
      <c r="AA12" s="482">
        <v>9.9</v>
      </c>
      <c r="AB12" s="482">
        <v>0.37</v>
      </c>
      <c r="AC12" s="482">
        <v>0.33</v>
      </c>
      <c r="AD12" s="482">
        <v>0.13</v>
      </c>
      <c r="AE12" s="482">
        <v>0.32</v>
      </c>
      <c r="AF12" s="482">
        <v>0.65</v>
      </c>
      <c r="AG12" s="482">
        <v>1.2999999999999999E-2</v>
      </c>
      <c r="AH12" s="482">
        <v>3.1</v>
      </c>
      <c r="AI12" s="482">
        <v>3.4000000000000002E-2</v>
      </c>
      <c r="AJ12" s="482">
        <v>5.6000000000000001E-2</v>
      </c>
      <c r="AK12" s="482">
        <v>1.6000000000000001E-3</v>
      </c>
      <c r="AL12" s="487">
        <v>6.4000000000000003E-3</v>
      </c>
      <c r="AM12" s="487">
        <v>8.7999999999999995E-2</v>
      </c>
      <c r="AN12" s="488" t="s">
        <v>282</v>
      </c>
      <c r="AO12" s="487">
        <v>3.3999999999999998E-3</v>
      </c>
      <c r="AP12" s="482">
        <v>2.1</v>
      </c>
      <c r="AQ12" s="484">
        <v>6.9000000000000006E-2</v>
      </c>
      <c r="AR12" s="667">
        <f>0.5*0.012</f>
        <v>6.0000000000000001E-3</v>
      </c>
      <c r="AS12" s="483">
        <v>0.61</v>
      </c>
      <c r="AT12" s="483">
        <v>1.3</v>
      </c>
      <c r="AU12" s="483">
        <v>0.49</v>
      </c>
      <c r="AV12" s="483">
        <v>0.71</v>
      </c>
      <c r="AW12" s="482">
        <v>1.2</v>
      </c>
      <c r="AX12" s="487">
        <v>0.41</v>
      </c>
      <c r="AY12" s="487">
        <v>0.11</v>
      </c>
      <c r="AZ12" s="487">
        <v>3.1</v>
      </c>
      <c r="BA12" s="480">
        <v>1</v>
      </c>
      <c r="BB12" s="489" t="s">
        <v>282</v>
      </c>
      <c r="BC12" s="619">
        <f t="shared" si="3"/>
        <v>1.0051612903225806</v>
      </c>
      <c r="BD12" s="610">
        <f t="shared" si="4"/>
        <v>1.01</v>
      </c>
      <c r="BF12" s="610">
        <f t="shared" si="5"/>
        <v>2.8169014084507044E-4</v>
      </c>
      <c r="BG12" s="610">
        <f t="shared" si="6"/>
        <v>2.096774193548387E-3</v>
      </c>
      <c r="BH12" s="610">
        <f t="shared" si="7"/>
        <v>3.5416666666666666E-2</v>
      </c>
      <c r="BI12" s="610">
        <f t="shared" si="8"/>
        <v>2.1739130434782609E-3</v>
      </c>
      <c r="BJ12" s="610">
        <f t="shared" si="9"/>
        <v>3.6666666666666667E-2</v>
      </c>
      <c r="BK12" s="610">
        <f t="shared" si="10"/>
        <v>1.3333333333333333E-3</v>
      </c>
      <c r="BL12" s="610">
        <f t="shared" si="11"/>
        <v>7.1604938271604935E-4</v>
      </c>
      <c r="BM12" s="610">
        <f t="shared" si="12"/>
        <v>1.4E-3</v>
      </c>
      <c r="BN12" s="563">
        <f t="shared" si="13"/>
        <v>37.79513100106012</v>
      </c>
      <c r="BO12" s="563">
        <f t="shared" si="14"/>
        <v>42.289962426194307</v>
      </c>
      <c r="BP12" s="611">
        <f t="shared" si="15"/>
        <v>0.89371398868044161</v>
      </c>
      <c r="BR12" s="564">
        <f t="shared" si="16"/>
        <v>2.3374999999999999</v>
      </c>
      <c r="BS12" s="564">
        <f t="shared" si="17"/>
        <v>0.16770000000000002</v>
      </c>
      <c r="BT12" s="564">
        <f t="shared" si="18"/>
        <v>0.125</v>
      </c>
      <c r="BU12" s="564">
        <f t="shared" si="19"/>
        <v>4.9600000000000009</v>
      </c>
      <c r="BV12" s="564">
        <f t="shared" si="20"/>
        <v>1</v>
      </c>
      <c r="BW12" s="564">
        <f t="shared" si="21"/>
        <v>0.39517000000000002</v>
      </c>
      <c r="BX12" s="564">
        <f t="shared" si="0"/>
        <v>5.74E-2</v>
      </c>
      <c r="BY12" s="564">
        <f t="shared" si="22"/>
        <v>6.4860000000000001E-2</v>
      </c>
      <c r="BZ12" s="564">
        <f t="shared" si="23"/>
        <v>3.006E-3</v>
      </c>
      <c r="CA12" s="564">
        <f t="shared" si="24"/>
        <v>9.1106359999999995</v>
      </c>
      <c r="CB12" s="611">
        <f t="shared" si="25"/>
        <v>0.71737291338582676</v>
      </c>
      <c r="CC12" s="610"/>
      <c r="CD12" s="610">
        <f t="shared" si="26"/>
        <v>0.75609756097560987</v>
      </c>
      <c r="CE12" s="610" t="e">
        <f t="shared" si="27"/>
        <v>#VALUE!</v>
      </c>
      <c r="CF12" s="610">
        <f t="shared" si="1"/>
        <v>0.49</v>
      </c>
      <c r="CG12" s="610">
        <f t="shared" si="2"/>
        <v>0.52</v>
      </c>
    </row>
    <row r="13" spans="2:85" ht="20.149999999999999" customHeight="1" x14ac:dyDescent="0.2">
      <c r="B13" s="31" t="s">
        <v>202</v>
      </c>
      <c r="C13" s="40" t="s">
        <v>204</v>
      </c>
      <c r="D13" s="452">
        <v>12.3</v>
      </c>
      <c r="E13" s="490">
        <v>0.01</v>
      </c>
      <c r="F13" s="454">
        <v>8.1000000000000003E-2</v>
      </c>
      <c r="G13" s="454">
        <v>3.9</v>
      </c>
      <c r="H13" s="455">
        <v>4.8000000000000001E-2</v>
      </c>
      <c r="I13" s="454">
        <v>1.4</v>
      </c>
      <c r="J13" s="454">
        <v>3.9E-2</v>
      </c>
      <c r="K13" s="454">
        <v>8.3999999999999995E-3</v>
      </c>
      <c r="L13" s="456">
        <v>1.9E-2</v>
      </c>
      <c r="M13" s="453">
        <v>74</v>
      </c>
      <c r="N13" s="454">
        <v>29</v>
      </c>
      <c r="O13" s="457" t="s">
        <v>232</v>
      </c>
      <c r="P13" s="454">
        <v>57</v>
      </c>
      <c r="Q13" s="454">
        <v>51</v>
      </c>
      <c r="R13" s="454">
        <v>5.1000000000000004E-3</v>
      </c>
      <c r="S13" s="666">
        <f>0.5*3.6</f>
        <v>1.8</v>
      </c>
      <c r="T13" s="454">
        <v>2.2000000000000002</v>
      </c>
      <c r="U13" s="454">
        <v>0.97</v>
      </c>
      <c r="V13" s="454">
        <v>5.4</v>
      </c>
      <c r="W13" s="454">
        <v>44</v>
      </c>
      <c r="X13" s="454">
        <v>2.8000000000000001E-2</v>
      </c>
      <c r="Y13" s="454">
        <v>0.88</v>
      </c>
      <c r="Z13" s="454">
        <v>3.8</v>
      </c>
      <c r="AA13" s="454">
        <v>12</v>
      </c>
      <c r="AB13" s="454">
        <v>0.48</v>
      </c>
      <c r="AC13" s="454">
        <v>0.45</v>
      </c>
      <c r="AD13" s="454">
        <v>0.13</v>
      </c>
      <c r="AE13" s="454">
        <v>0.41</v>
      </c>
      <c r="AF13" s="454">
        <v>0.89</v>
      </c>
      <c r="AG13" s="454">
        <v>1.2999999999999999E-2</v>
      </c>
      <c r="AH13" s="454">
        <v>2.4</v>
      </c>
      <c r="AI13" s="454">
        <v>3.1E-2</v>
      </c>
      <c r="AJ13" s="454">
        <v>5.8000000000000003E-2</v>
      </c>
      <c r="AK13" s="454">
        <v>1.4E-3</v>
      </c>
      <c r="AL13" s="460">
        <v>4.5999999999999999E-3</v>
      </c>
      <c r="AM13" s="460">
        <v>0.14000000000000001</v>
      </c>
      <c r="AN13" s="461" t="s">
        <v>282</v>
      </c>
      <c r="AO13" s="460">
        <v>4.5999999999999999E-3</v>
      </c>
      <c r="AP13" s="454">
        <v>2.8</v>
      </c>
      <c r="AQ13" s="491">
        <v>0.1</v>
      </c>
      <c r="AR13" s="668">
        <f>0.5*0.012</f>
        <v>6.0000000000000001E-3</v>
      </c>
      <c r="AS13" s="455">
        <v>0.47</v>
      </c>
      <c r="AT13" s="455">
        <v>0.56999999999999995</v>
      </c>
      <c r="AU13" s="455">
        <v>0.25</v>
      </c>
      <c r="AV13" s="455">
        <v>0.63</v>
      </c>
      <c r="AW13" s="458">
        <v>0.9</v>
      </c>
      <c r="AX13" s="462">
        <v>0.4</v>
      </c>
      <c r="AY13" s="460">
        <v>8.5999999999999993E-2</v>
      </c>
      <c r="AZ13" s="460">
        <v>1.9</v>
      </c>
      <c r="BA13" s="460">
        <v>0.76</v>
      </c>
      <c r="BB13" s="463" t="s">
        <v>282</v>
      </c>
      <c r="BC13" s="619">
        <f t="shared" si="3"/>
        <v>1.0136842105263157</v>
      </c>
      <c r="BD13" s="610">
        <f t="shared" si="4"/>
        <v>0.99473684210526325</v>
      </c>
      <c r="BF13" s="610">
        <f t="shared" si="5"/>
        <v>2.8169014084507044E-4</v>
      </c>
      <c r="BG13" s="610">
        <f t="shared" si="6"/>
        <v>1.3064516129032259E-3</v>
      </c>
      <c r="BH13" s="610">
        <f t="shared" si="7"/>
        <v>8.1250000000000003E-2</v>
      </c>
      <c r="BI13" s="610">
        <f t="shared" si="8"/>
        <v>2.0869565217391307E-3</v>
      </c>
      <c r="BJ13" s="610">
        <f t="shared" si="9"/>
        <v>7.7777777777777779E-2</v>
      </c>
      <c r="BK13" s="610">
        <f t="shared" si="10"/>
        <v>1E-3</v>
      </c>
      <c r="BL13" s="610">
        <f t="shared" si="11"/>
        <v>6.91358024691358E-4</v>
      </c>
      <c r="BM13" s="610">
        <f t="shared" si="12"/>
        <v>9.5E-4</v>
      </c>
      <c r="BN13" s="563">
        <f t="shared" si="13"/>
        <v>82.838141753748303</v>
      </c>
      <c r="BO13" s="563">
        <f t="shared" si="14"/>
        <v>82.506092324208268</v>
      </c>
      <c r="BP13" s="611">
        <f t="shared" si="15"/>
        <v>1.0040245443722537</v>
      </c>
      <c r="BR13" s="564">
        <f t="shared" si="16"/>
        <v>5.3624999999999998</v>
      </c>
      <c r="BS13" s="564">
        <f t="shared" si="17"/>
        <v>0.10449</v>
      </c>
      <c r="BT13" s="564">
        <f t="shared" si="18"/>
        <v>0.12</v>
      </c>
      <c r="BU13" s="564">
        <f t="shared" si="19"/>
        <v>3.04</v>
      </c>
      <c r="BV13" s="564">
        <f t="shared" si="20"/>
        <v>0.76</v>
      </c>
      <c r="BW13" s="564">
        <f t="shared" si="21"/>
        <v>0.26651000000000002</v>
      </c>
      <c r="BX13" s="564">
        <f t="shared" si="0"/>
        <v>7.1399999999999991E-2</v>
      </c>
      <c r="BY13" s="564">
        <f t="shared" si="22"/>
        <v>6.0719999999999989E-2</v>
      </c>
      <c r="BZ13" s="564">
        <f t="shared" si="23"/>
        <v>3.006E-3</v>
      </c>
      <c r="CA13" s="564">
        <f t="shared" si="24"/>
        <v>9.7886259999999989</v>
      </c>
      <c r="CB13" s="611">
        <f t="shared" si="25"/>
        <v>0.79582325203252025</v>
      </c>
      <c r="CC13" s="610"/>
      <c r="CD13" s="610">
        <f t="shared" si="26"/>
        <v>0.71428571428571419</v>
      </c>
      <c r="CE13" s="610" t="e">
        <f t="shared" si="27"/>
        <v>#VALUE!</v>
      </c>
      <c r="CF13" s="610">
        <f t="shared" ref="CF13:CF20" si="28">IF(AW13-AV13&gt;0,AW13-AV13,0)</f>
        <v>0.27</v>
      </c>
      <c r="CG13" s="610">
        <f t="shared" ref="CG13:CG20" si="29">IF(AW13-AV13&gt;0,AX13+AY13,AW13+AX13+AY13-AV13)</f>
        <v>0.48599999999999999</v>
      </c>
    </row>
    <row r="14" spans="2:85" ht="20.149999999999999" customHeight="1" x14ac:dyDescent="0.2">
      <c r="B14" s="31" t="s">
        <v>202</v>
      </c>
      <c r="C14" s="32" t="s">
        <v>205</v>
      </c>
      <c r="D14" s="452">
        <v>17.5</v>
      </c>
      <c r="E14" s="453">
        <v>2.8000000000000001E-2</v>
      </c>
      <c r="F14" s="454">
        <v>0.18</v>
      </c>
      <c r="G14" s="454">
        <v>7.2</v>
      </c>
      <c r="H14" s="455">
        <v>5.0999999999999997E-2</v>
      </c>
      <c r="I14" s="454">
        <v>2.5</v>
      </c>
      <c r="J14" s="454">
        <v>3.5000000000000003E-2</v>
      </c>
      <c r="K14" s="454">
        <v>8.0999999999999996E-3</v>
      </c>
      <c r="L14" s="456">
        <v>2.5000000000000001E-2</v>
      </c>
      <c r="M14" s="453">
        <v>86</v>
      </c>
      <c r="N14" s="454">
        <v>37</v>
      </c>
      <c r="O14" s="457" t="s">
        <v>232</v>
      </c>
      <c r="P14" s="454">
        <v>64</v>
      </c>
      <c r="Q14" s="454">
        <v>44</v>
      </c>
      <c r="R14" s="454">
        <v>1.2999999999999999E-2</v>
      </c>
      <c r="S14" s="454">
        <v>4.0999999999999996</v>
      </c>
      <c r="T14" s="454">
        <v>3.9</v>
      </c>
      <c r="U14" s="454">
        <v>1.5</v>
      </c>
      <c r="V14" s="454">
        <v>4.8</v>
      </c>
      <c r="W14" s="454">
        <v>55</v>
      </c>
      <c r="X14" s="454">
        <v>3.9E-2</v>
      </c>
      <c r="Y14" s="454">
        <v>1.6</v>
      </c>
      <c r="Z14" s="454">
        <v>3.5</v>
      </c>
      <c r="AA14" s="454">
        <v>24</v>
      </c>
      <c r="AB14" s="454">
        <v>1.5</v>
      </c>
      <c r="AC14" s="454">
        <v>0.96</v>
      </c>
      <c r="AD14" s="454">
        <v>0.21</v>
      </c>
      <c r="AE14" s="454">
        <v>0.63</v>
      </c>
      <c r="AF14" s="454">
        <v>0.88</v>
      </c>
      <c r="AG14" s="454">
        <v>2.4E-2</v>
      </c>
      <c r="AH14" s="454">
        <v>1.8</v>
      </c>
      <c r="AI14" s="454">
        <v>4.3999999999999997E-2</v>
      </c>
      <c r="AJ14" s="454">
        <v>5.3999999999999999E-2</v>
      </c>
      <c r="AK14" s="454">
        <v>2.7000000000000001E-3</v>
      </c>
      <c r="AL14" s="460">
        <v>1.7000000000000001E-2</v>
      </c>
      <c r="AM14" s="460">
        <v>0.19</v>
      </c>
      <c r="AN14" s="461" t="s">
        <v>282</v>
      </c>
      <c r="AO14" s="460">
        <v>5.4000000000000003E-3</v>
      </c>
      <c r="AP14" s="459">
        <v>7</v>
      </c>
      <c r="AQ14" s="456">
        <v>0.19</v>
      </c>
      <c r="AR14" s="453">
        <v>1.4E-2</v>
      </c>
      <c r="AS14" s="455">
        <v>0.45</v>
      </c>
      <c r="AT14" s="465">
        <v>0.5</v>
      </c>
      <c r="AU14" s="455">
        <v>0.16</v>
      </c>
      <c r="AV14" s="455">
        <v>0.64</v>
      </c>
      <c r="AW14" s="454">
        <v>0.85</v>
      </c>
      <c r="AX14" s="460">
        <v>0.45</v>
      </c>
      <c r="AY14" s="460">
        <v>9.2999999999999999E-2</v>
      </c>
      <c r="AZ14" s="460">
        <v>1.8</v>
      </c>
      <c r="BA14" s="460">
        <v>0.75</v>
      </c>
      <c r="BB14" s="463" t="s">
        <v>282</v>
      </c>
      <c r="BC14" s="619">
        <f t="shared" si="3"/>
        <v>0.97999999999999987</v>
      </c>
      <c r="BD14" s="610">
        <f t="shared" si="4"/>
        <v>1.004</v>
      </c>
      <c r="BF14" s="610">
        <f t="shared" si="5"/>
        <v>7.8873239436619725E-4</v>
      </c>
      <c r="BG14" s="610">
        <f t="shared" si="6"/>
        <v>2.9032258064516127E-3</v>
      </c>
      <c r="BH14" s="610">
        <f t="shared" si="7"/>
        <v>0.15</v>
      </c>
      <c r="BI14" s="610">
        <f t="shared" si="8"/>
        <v>2.217391304347826E-3</v>
      </c>
      <c r="BJ14" s="610">
        <f t="shared" si="9"/>
        <v>0.1388888888888889</v>
      </c>
      <c r="BK14" s="610">
        <f t="shared" si="10"/>
        <v>8.9743589743589754E-4</v>
      </c>
      <c r="BL14" s="610">
        <f t="shared" si="11"/>
        <v>6.6666666666666664E-4</v>
      </c>
      <c r="BM14" s="610">
        <f t="shared" si="12"/>
        <v>1.25E-3</v>
      </c>
      <c r="BN14" s="563">
        <f t="shared" si="13"/>
        <v>153.69195820081779</v>
      </c>
      <c r="BO14" s="563">
        <f t="shared" si="14"/>
        <v>143.92038275733933</v>
      </c>
      <c r="BP14" s="611">
        <f t="shared" si="15"/>
        <v>1.0678957021671773</v>
      </c>
      <c r="BR14" s="564">
        <f t="shared" si="16"/>
        <v>9.9</v>
      </c>
      <c r="BS14" s="564">
        <f t="shared" si="17"/>
        <v>0.23219999999999999</v>
      </c>
      <c r="BT14" s="564">
        <f t="shared" si="18"/>
        <v>0.1275</v>
      </c>
      <c r="BU14" s="564">
        <f t="shared" si="19"/>
        <v>2.8800000000000003</v>
      </c>
      <c r="BV14" s="564">
        <f t="shared" si="20"/>
        <v>0.75</v>
      </c>
      <c r="BW14" s="564">
        <f t="shared" si="21"/>
        <v>0.34003</v>
      </c>
      <c r="BX14" s="564">
        <f t="shared" si="0"/>
        <v>6.1599999999999995E-2</v>
      </c>
      <c r="BY14" s="564">
        <f t="shared" si="22"/>
        <v>7.5899999999999995E-2</v>
      </c>
      <c r="BZ14" s="564">
        <f t="shared" si="23"/>
        <v>6.8469999999999989E-3</v>
      </c>
      <c r="CA14" s="564">
        <f t="shared" si="24"/>
        <v>14.374077000000003</v>
      </c>
      <c r="CB14" s="611">
        <f t="shared" si="25"/>
        <v>0.82137582857142877</v>
      </c>
      <c r="CC14" s="610"/>
      <c r="CD14" s="610">
        <f t="shared" si="26"/>
        <v>0.70588235294117652</v>
      </c>
      <c r="CE14" s="610" t="e">
        <f t="shared" si="27"/>
        <v>#VALUE!</v>
      </c>
      <c r="CF14" s="610">
        <f t="shared" si="28"/>
        <v>0.20999999999999996</v>
      </c>
      <c r="CG14" s="610">
        <f t="shared" si="29"/>
        <v>0.54300000000000004</v>
      </c>
    </row>
    <row r="15" spans="2:85" ht="20.149999999999999" customHeight="1" x14ac:dyDescent="0.2">
      <c r="B15" s="31" t="s">
        <v>202</v>
      </c>
      <c r="C15" s="32" t="s">
        <v>206</v>
      </c>
      <c r="D15" s="452">
        <v>23</v>
      </c>
      <c r="E15" s="490">
        <v>0.02</v>
      </c>
      <c r="F15" s="454">
        <v>0.13</v>
      </c>
      <c r="G15" s="454">
        <v>10</v>
      </c>
      <c r="H15" s="455">
        <v>8.3000000000000004E-2</v>
      </c>
      <c r="I15" s="454">
        <v>3.4</v>
      </c>
      <c r="J15" s="454">
        <v>7.2999999999999995E-2</v>
      </c>
      <c r="K15" s="454">
        <v>1.2E-2</v>
      </c>
      <c r="L15" s="492">
        <v>0.03</v>
      </c>
      <c r="M15" s="453">
        <v>120</v>
      </c>
      <c r="N15" s="454">
        <v>47</v>
      </c>
      <c r="O15" s="457" t="s">
        <v>232</v>
      </c>
      <c r="P15" s="454">
        <v>110</v>
      </c>
      <c r="Q15" s="454">
        <v>39</v>
      </c>
      <c r="R15" s="454">
        <v>8.3999999999999995E-3</v>
      </c>
      <c r="S15" s="666">
        <f>0.5*3.6</f>
        <v>1.8</v>
      </c>
      <c r="T15" s="454">
        <v>4.9000000000000004</v>
      </c>
      <c r="U15" s="454">
        <v>0.96</v>
      </c>
      <c r="V15" s="454">
        <v>6.7</v>
      </c>
      <c r="W15" s="454">
        <v>71</v>
      </c>
      <c r="X15" s="454">
        <v>6.7000000000000004E-2</v>
      </c>
      <c r="Y15" s="454">
        <v>1.9</v>
      </c>
      <c r="Z15" s="454">
        <v>4.5999999999999996</v>
      </c>
      <c r="AA15" s="454">
        <v>42</v>
      </c>
      <c r="AB15" s="454">
        <v>1.9</v>
      </c>
      <c r="AC15" s="454">
        <v>1.3</v>
      </c>
      <c r="AD15" s="454">
        <v>0.37</v>
      </c>
      <c r="AE15" s="454">
        <v>0.59</v>
      </c>
      <c r="AF15" s="454">
        <v>1.3</v>
      </c>
      <c r="AG15" s="454">
        <v>4.1000000000000002E-2</v>
      </c>
      <c r="AH15" s="454">
        <v>3.1</v>
      </c>
      <c r="AI15" s="454">
        <v>5.2999999999999999E-2</v>
      </c>
      <c r="AJ15" s="466">
        <v>0.09</v>
      </c>
      <c r="AK15" s="454">
        <v>4.4000000000000003E-3</v>
      </c>
      <c r="AL15" s="460">
        <v>6.4999999999999997E-3</v>
      </c>
      <c r="AM15" s="462">
        <v>0.2</v>
      </c>
      <c r="AN15" s="461" t="s">
        <v>282</v>
      </c>
      <c r="AO15" s="460">
        <v>7.7000000000000002E-3</v>
      </c>
      <c r="AP15" s="454">
        <v>12</v>
      </c>
      <c r="AQ15" s="456">
        <v>0.28999999999999998</v>
      </c>
      <c r="AR15" s="668">
        <f>0.5*0.012</f>
        <v>6.0000000000000001E-3</v>
      </c>
      <c r="AS15" s="455">
        <v>0.57999999999999996</v>
      </c>
      <c r="AT15" s="455">
        <v>0.52</v>
      </c>
      <c r="AU15" s="465">
        <v>0.2</v>
      </c>
      <c r="AV15" s="455">
        <v>0.66</v>
      </c>
      <c r="AW15" s="454">
        <v>1.1000000000000001</v>
      </c>
      <c r="AX15" s="460">
        <v>0.45</v>
      </c>
      <c r="AY15" s="460">
        <v>8.3000000000000004E-2</v>
      </c>
      <c r="AZ15" s="452">
        <v>2</v>
      </c>
      <c r="BA15" s="460">
        <v>0.97</v>
      </c>
      <c r="BB15" s="463" t="s">
        <v>282</v>
      </c>
      <c r="BC15" s="619">
        <f t="shared" si="3"/>
        <v>0.98299999999999987</v>
      </c>
      <c r="BD15" s="610">
        <f t="shared" si="4"/>
        <v>1.0030927835051546</v>
      </c>
      <c r="BF15" s="610">
        <f t="shared" si="5"/>
        <v>5.6338028169014088E-4</v>
      </c>
      <c r="BG15" s="610">
        <f t="shared" si="6"/>
        <v>2.096774193548387E-3</v>
      </c>
      <c r="BH15" s="610">
        <f t="shared" si="7"/>
        <v>0.20833333333333334</v>
      </c>
      <c r="BI15" s="610">
        <f t="shared" si="8"/>
        <v>3.6086956521739133E-3</v>
      </c>
      <c r="BJ15" s="610">
        <f t="shared" si="9"/>
        <v>0.18888888888888888</v>
      </c>
      <c r="BK15" s="610">
        <f t="shared" si="10"/>
        <v>1.8717948717948717E-3</v>
      </c>
      <c r="BL15" s="610">
        <f t="shared" si="11"/>
        <v>9.8765432098765434E-4</v>
      </c>
      <c r="BM15" s="610">
        <f t="shared" si="12"/>
        <v>1.5E-3</v>
      </c>
      <c r="BN15" s="563">
        <f t="shared" si="13"/>
        <v>210.99348780857187</v>
      </c>
      <c r="BO15" s="563">
        <f t="shared" si="14"/>
        <v>196.85703373384533</v>
      </c>
      <c r="BP15" s="611">
        <f t="shared" si="15"/>
        <v>1.0718107644242945</v>
      </c>
      <c r="BR15" s="564">
        <f t="shared" si="16"/>
        <v>13.75</v>
      </c>
      <c r="BS15" s="564">
        <f t="shared" si="17"/>
        <v>0.16770000000000002</v>
      </c>
      <c r="BT15" s="564">
        <f t="shared" si="18"/>
        <v>0.20750000000000002</v>
      </c>
      <c r="BU15" s="564">
        <f t="shared" si="19"/>
        <v>3.2</v>
      </c>
      <c r="BV15" s="564">
        <f t="shared" si="20"/>
        <v>0.97</v>
      </c>
      <c r="BW15" s="564">
        <f t="shared" si="21"/>
        <v>0.43193000000000004</v>
      </c>
      <c r="BX15" s="564">
        <f t="shared" si="0"/>
        <v>5.4599999999999996E-2</v>
      </c>
      <c r="BY15" s="564">
        <f t="shared" si="22"/>
        <v>9.7979999999999984E-2</v>
      </c>
      <c r="BZ15" s="564">
        <f t="shared" si="23"/>
        <v>3.006E-3</v>
      </c>
      <c r="CA15" s="564">
        <f t="shared" si="24"/>
        <v>18.882715999999999</v>
      </c>
      <c r="CB15" s="611">
        <f t="shared" si="25"/>
        <v>0.82098765217391301</v>
      </c>
      <c r="CC15" s="610"/>
      <c r="CD15" s="610">
        <f t="shared" si="26"/>
        <v>0.67340067340067344</v>
      </c>
      <c r="CE15" s="610" t="e">
        <f t="shared" si="27"/>
        <v>#VALUE!</v>
      </c>
      <c r="CF15" s="610">
        <f t="shared" si="28"/>
        <v>0.44000000000000006</v>
      </c>
      <c r="CG15" s="610">
        <f t="shared" si="29"/>
        <v>0.53300000000000003</v>
      </c>
    </row>
    <row r="16" spans="2:85" ht="20.149999999999999" customHeight="1" x14ac:dyDescent="0.2">
      <c r="B16" s="31" t="s">
        <v>202</v>
      </c>
      <c r="C16" s="32" t="s">
        <v>207</v>
      </c>
      <c r="D16" s="452">
        <v>26.6</v>
      </c>
      <c r="E16" s="453">
        <v>1.2E-2</v>
      </c>
      <c r="F16" s="454">
        <v>8.4000000000000005E-2</v>
      </c>
      <c r="G16" s="454">
        <v>11</v>
      </c>
      <c r="H16" s="455">
        <v>6.4000000000000001E-2</v>
      </c>
      <c r="I16" s="454">
        <v>3.6</v>
      </c>
      <c r="J16" s="454">
        <v>9.1999999999999998E-2</v>
      </c>
      <c r="K16" s="454">
        <v>1.2E-2</v>
      </c>
      <c r="L16" s="456">
        <v>3.7999999999999999E-2</v>
      </c>
      <c r="M16" s="453">
        <v>98</v>
      </c>
      <c r="N16" s="454">
        <v>75</v>
      </c>
      <c r="O16" s="457" t="s">
        <v>232</v>
      </c>
      <c r="P16" s="454">
        <v>140</v>
      </c>
      <c r="Q16" s="454">
        <v>56</v>
      </c>
      <c r="R16" s="454">
        <v>1.6E-2</v>
      </c>
      <c r="S16" s="666">
        <f>0.5*3.6</f>
        <v>1.8</v>
      </c>
      <c r="T16" s="454">
        <v>3.5</v>
      </c>
      <c r="U16" s="454">
        <v>1</v>
      </c>
      <c r="V16" s="454">
        <v>6.5</v>
      </c>
      <c r="W16" s="454">
        <v>82</v>
      </c>
      <c r="X16" s="454">
        <v>7.4999999999999997E-2</v>
      </c>
      <c r="Y16" s="454">
        <v>1.5</v>
      </c>
      <c r="Z16" s="454">
        <v>5.4</v>
      </c>
      <c r="AA16" s="454">
        <v>40</v>
      </c>
      <c r="AB16" s="454">
        <v>2.2999999999999998</v>
      </c>
      <c r="AC16" s="454">
        <v>1.5</v>
      </c>
      <c r="AD16" s="454">
        <v>0.44</v>
      </c>
      <c r="AE16" s="454">
        <v>0.96</v>
      </c>
      <c r="AF16" s="454">
        <v>1.8</v>
      </c>
      <c r="AG16" s="454">
        <v>5.1999999999999998E-2</v>
      </c>
      <c r="AH16" s="454">
        <v>4.9000000000000004</v>
      </c>
      <c r="AI16" s="466">
        <v>7.0000000000000007E-2</v>
      </c>
      <c r="AJ16" s="454">
        <v>0.12</v>
      </c>
      <c r="AK16" s="454">
        <v>5.7000000000000002E-3</v>
      </c>
      <c r="AL16" s="460">
        <v>1.7999999999999999E-2</v>
      </c>
      <c r="AM16" s="462">
        <v>0.3</v>
      </c>
      <c r="AN16" s="461" t="s">
        <v>282</v>
      </c>
      <c r="AO16" s="460">
        <v>1.2E-2</v>
      </c>
      <c r="AP16" s="454">
        <v>14</v>
      </c>
      <c r="AQ16" s="456">
        <v>0.66</v>
      </c>
      <c r="AR16" s="453">
        <v>1.9E-2</v>
      </c>
      <c r="AS16" s="455">
        <v>0.77</v>
      </c>
      <c r="AT16" s="455">
        <v>0.69</v>
      </c>
      <c r="AU16" s="455">
        <v>0.27</v>
      </c>
      <c r="AV16" s="493">
        <v>1</v>
      </c>
      <c r="AW16" s="454">
        <v>1.5</v>
      </c>
      <c r="AX16" s="460">
        <v>0.62</v>
      </c>
      <c r="AY16" s="460">
        <v>0.12</v>
      </c>
      <c r="AZ16" s="460">
        <v>2.7</v>
      </c>
      <c r="BA16" s="460">
        <v>1.2</v>
      </c>
      <c r="BB16" s="463" t="s">
        <v>282</v>
      </c>
      <c r="BC16" s="619">
        <f t="shared" si="3"/>
        <v>1.018148148148148</v>
      </c>
      <c r="BD16" s="610">
        <f t="shared" si="4"/>
        <v>1.0333333333333337</v>
      </c>
      <c r="BF16" s="610">
        <f t="shared" si="5"/>
        <v>3.380281690140845E-4</v>
      </c>
      <c r="BG16" s="610">
        <f t="shared" si="6"/>
        <v>1.3548387096774194E-3</v>
      </c>
      <c r="BH16" s="610">
        <f t="shared" si="7"/>
        <v>0.22916666666666666</v>
      </c>
      <c r="BI16" s="610">
        <f t="shared" si="8"/>
        <v>2.7826086956521741E-3</v>
      </c>
      <c r="BJ16" s="610">
        <f t="shared" si="9"/>
        <v>0.2</v>
      </c>
      <c r="BK16" s="610">
        <f t="shared" si="10"/>
        <v>2.3589743589743591E-3</v>
      </c>
      <c r="BL16" s="610">
        <f t="shared" si="11"/>
        <v>9.8765432098765434E-4</v>
      </c>
      <c r="BM16" s="610">
        <f t="shared" si="12"/>
        <v>1.9E-3</v>
      </c>
      <c r="BN16" s="563">
        <f t="shared" si="13"/>
        <v>230.85953354535815</v>
      </c>
      <c r="BO16" s="563">
        <f t="shared" si="14"/>
        <v>208.0292373756142</v>
      </c>
      <c r="BP16" s="611">
        <f t="shared" si="15"/>
        <v>1.1097456129617105</v>
      </c>
      <c r="BR16" s="564">
        <f t="shared" si="16"/>
        <v>15.125</v>
      </c>
      <c r="BS16" s="564">
        <f t="shared" si="17"/>
        <v>0.10836000000000001</v>
      </c>
      <c r="BT16" s="564">
        <f t="shared" si="18"/>
        <v>0.16</v>
      </c>
      <c r="BU16" s="564">
        <f t="shared" si="19"/>
        <v>4.32</v>
      </c>
      <c r="BV16" s="564">
        <f t="shared" si="20"/>
        <v>1.2</v>
      </c>
      <c r="BW16" s="564">
        <f t="shared" si="21"/>
        <v>0.68925000000000003</v>
      </c>
      <c r="BX16" s="564">
        <f t="shared" si="0"/>
        <v>7.8399999999999997E-2</v>
      </c>
      <c r="BY16" s="564">
        <f t="shared" si="22"/>
        <v>0.11316</v>
      </c>
      <c r="BZ16" s="564">
        <f t="shared" si="23"/>
        <v>3.006E-3</v>
      </c>
      <c r="CA16" s="564">
        <f t="shared" si="24"/>
        <v>21.797176</v>
      </c>
      <c r="CB16" s="611">
        <f t="shared" si="25"/>
        <v>0.81944270676691722</v>
      </c>
      <c r="CC16" s="610"/>
      <c r="CD16" s="610">
        <f t="shared" si="26"/>
        <v>0.69230769230769229</v>
      </c>
      <c r="CE16" s="610" t="e">
        <f t="shared" si="27"/>
        <v>#VALUE!</v>
      </c>
      <c r="CF16" s="610">
        <f t="shared" si="28"/>
        <v>0.5</v>
      </c>
      <c r="CG16" s="610">
        <f t="shared" si="29"/>
        <v>0.74</v>
      </c>
    </row>
    <row r="17" spans="2:85" ht="20.149999999999999" customHeight="1" x14ac:dyDescent="0.2">
      <c r="B17" s="31" t="s">
        <v>202</v>
      </c>
      <c r="C17" s="32" t="s">
        <v>208</v>
      </c>
      <c r="D17" s="452">
        <v>22.4</v>
      </c>
      <c r="E17" s="453">
        <v>1.4E-2</v>
      </c>
      <c r="F17" s="454">
        <v>8.2000000000000003E-2</v>
      </c>
      <c r="G17" s="454">
        <v>8.1</v>
      </c>
      <c r="H17" s="455">
        <v>4.7E-2</v>
      </c>
      <c r="I17" s="454">
        <v>2.8</v>
      </c>
      <c r="J17" s="454">
        <v>0.15</v>
      </c>
      <c r="K17" s="454">
        <v>1.6E-2</v>
      </c>
      <c r="L17" s="456">
        <v>4.2999999999999997E-2</v>
      </c>
      <c r="M17" s="453">
        <v>78</v>
      </c>
      <c r="N17" s="454">
        <v>83</v>
      </c>
      <c r="O17" s="457" t="s">
        <v>232</v>
      </c>
      <c r="P17" s="454">
        <v>210</v>
      </c>
      <c r="Q17" s="454">
        <v>48</v>
      </c>
      <c r="R17" s="454">
        <v>1.2999999999999999E-2</v>
      </c>
      <c r="S17" s="454">
        <v>3.9</v>
      </c>
      <c r="T17" s="454">
        <v>2.8</v>
      </c>
      <c r="U17" s="454">
        <v>1.2</v>
      </c>
      <c r="V17" s="454">
        <v>5.7</v>
      </c>
      <c r="W17" s="454">
        <v>80</v>
      </c>
      <c r="X17" s="466">
        <v>0.06</v>
      </c>
      <c r="Y17" s="454">
        <v>1.2</v>
      </c>
      <c r="Z17" s="454">
        <v>6.6</v>
      </c>
      <c r="AA17" s="454">
        <v>36</v>
      </c>
      <c r="AB17" s="454">
        <v>1.8</v>
      </c>
      <c r="AC17" s="454">
        <v>1.2</v>
      </c>
      <c r="AD17" s="454">
        <v>0.38</v>
      </c>
      <c r="AE17" s="454">
        <v>0.64</v>
      </c>
      <c r="AF17" s="454">
        <v>1.4</v>
      </c>
      <c r="AG17" s="454">
        <v>4.1000000000000002E-2</v>
      </c>
      <c r="AH17" s="454">
        <v>12</v>
      </c>
      <c r="AI17" s="454">
        <v>6.2E-2</v>
      </c>
      <c r="AJ17" s="454">
        <v>0.11</v>
      </c>
      <c r="AK17" s="454">
        <v>5.1999999999999998E-3</v>
      </c>
      <c r="AL17" s="460">
        <v>8.3999999999999995E-3</v>
      </c>
      <c r="AM17" s="460">
        <v>0.17</v>
      </c>
      <c r="AN17" s="461" t="s">
        <v>282</v>
      </c>
      <c r="AO17" s="494">
        <v>0.01</v>
      </c>
      <c r="AP17" s="454">
        <v>8.4</v>
      </c>
      <c r="AQ17" s="456">
        <v>0.26</v>
      </c>
      <c r="AR17" s="453">
        <v>2.1999999999999999E-2</v>
      </c>
      <c r="AS17" s="455">
        <v>0.91</v>
      </c>
      <c r="AT17" s="455">
        <v>0.89</v>
      </c>
      <c r="AU17" s="455">
        <v>0.35</v>
      </c>
      <c r="AV17" s="455">
        <v>1.2</v>
      </c>
      <c r="AW17" s="454">
        <v>1.6</v>
      </c>
      <c r="AX17" s="460">
        <v>0.52</v>
      </c>
      <c r="AY17" s="460">
        <v>0.12</v>
      </c>
      <c r="AZ17" s="460">
        <v>3.4</v>
      </c>
      <c r="BA17" s="452">
        <v>1</v>
      </c>
      <c r="BB17" s="463" t="s">
        <v>282</v>
      </c>
      <c r="BC17" s="619">
        <f t="shared" si="3"/>
        <v>0.99176470588235288</v>
      </c>
      <c r="BD17" s="610">
        <f t="shared" si="4"/>
        <v>1.0400000000000003</v>
      </c>
      <c r="BF17" s="610">
        <f t="shared" si="5"/>
        <v>3.9436619718309862E-4</v>
      </c>
      <c r="BG17" s="610">
        <f t="shared" si="6"/>
        <v>1.3225806451612903E-3</v>
      </c>
      <c r="BH17" s="610">
        <f t="shared" si="7"/>
        <v>0.16874999999999998</v>
      </c>
      <c r="BI17" s="610">
        <f t="shared" si="8"/>
        <v>2.0434782608695651E-3</v>
      </c>
      <c r="BJ17" s="610">
        <f t="shared" si="9"/>
        <v>0.15555555555555556</v>
      </c>
      <c r="BK17" s="610">
        <f t="shared" si="10"/>
        <v>3.8461538461538459E-3</v>
      </c>
      <c r="BL17" s="610">
        <f t="shared" si="11"/>
        <v>1.316872427983539E-3</v>
      </c>
      <c r="BM17" s="610">
        <f t="shared" si="12"/>
        <v>2.15E-3</v>
      </c>
      <c r="BN17" s="563">
        <f t="shared" si="13"/>
        <v>170.46694684234436</v>
      </c>
      <c r="BO17" s="563">
        <f t="shared" si="14"/>
        <v>164.91206009056251</v>
      </c>
      <c r="BP17" s="611">
        <f t="shared" si="15"/>
        <v>1.0336839328108045</v>
      </c>
      <c r="BR17" s="564">
        <f t="shared" si="16"/>
        <v>11.137499999999999</v>
      </c>
      <c r="BS17" s="564">
        <f t="shared" si="17"/>
        <v>0.10578000000000001</v>
      </c>
      <c r="BT17" s="564">
        <f t="shared" si="18"/>
        <v>0.11749999999999999</v>
      </c>
      <c r="BU17" s="564">
        <f t="shared" si="19"/>
        <v>5.44</v>
      </c>
      <c r="BV17" s="564">
        <f t="shared" si="20"/>
        <v>1</v>
      </c>
      <c r="BW17" s="564">
        <f t="shared" si="21"/>
        <v>0.76277000000000006</v>
      </c>
      <c r="BX17" s="564">
        <f t="shared" si="0"/>
        <v>6.7199999999999996E-2</v>
      </c>
      <c r="BY17" s="564">
        <f t="shared" si="22"/>
        <v>0.1104</v>
      </c>
      <c r="BZ17" s="564">
        <f t="shared" si="23"/>
        <v>6.5129999999999997E-3</v>
      </c>
      <c r="CA17" s="564">
        <f t="shared" si="24"/>
        <v>18.747662999999999</v>
      </c>
      <c r="CB17" s="611">
        <f t="shared" si="25"/>
        <v>0.83694924107142854</v>
      </c>
      <c r="CC17" s="610"/>
      <c r="CD17" s="610">
        <f t="shared" si="26"/>
        <v>0.7727272727272726</v>
      </c>
      <c r="CE17" s="610" t="e">
        <f t="shared" si="27"/>
        <v>#VALUE!</v>
      </c>
      <c r="CF17" s="610">
        <f t="shared" si="28"/>
        <v>0.40000000000000013</v>
      </c>
      <c r="CG17" s="610">
        <f t="shared" si="29"/>
        <v>0.64</v>
      </c>
    </row>
    <row r="18" spans="2:85" ht="20.149999999999999" customHeight="1" thickBot="1" x14ac:dyDescent="0.25">
      <c r="B18" s="39" t="s">
        <v>202</v>
      </c>
      <c r="C18" s="45" t="s">
        <v>209</v>
      </c>
      <c r="D18" s="467">
        <v>20</v>
      </c>
      <c r="E18" s="468">
        <v>1.7000000000000001E-2</v>
      </c>
      <c r="F18" s="469">
        <v>8.5000000000000006E-2</v>
      </c>
      <c r="G18" s="473">
        <v>6</v>
      </c>
      <c r="H18" s="495">
        <v>0.03</v>
      </c>
      <c r="I18" s="469">
        <v>2.1</v>
      </c>
      <c r="J18" s="469">
        <v>6.8000000000000005E-2</v>
      </c>
      <c r="K18" s="469">
        <v>8.5000000000000006E-3</v>
      </c>
      <c r="L18" s="471">
        <v>3.3000000000000002E-2</v>
      </c>
      <c r="M18" s="468">
        <v>54</v>
      </c>
      <c r="N18" s="469">
        <v>60</v>
      </c>
      <c r="O18" s="472" t="s">
        <v>232</v>
      </c>
      <c r="P18" s="469">
        <v>100</v>
      </c>
      <c r="Q18" s="469">
        <v>42</v>
      </c>
      <c r="R18" s="469">
        <v>1.2E-2</v>
      </c>
      <c r="S18" s="469">
        <v>14</v>
      </c>
      <c r="T18" s="469">
        <v>2.2000000000000002</v>
      </c>
      <c r="U18" s="469">
        <v>1.4</v>
      </c>
      <c r="V18" s="469">
        <v>4.0999999999999996</v>
      </c>
      <c r="W18" s="469">
        <v>64</v>
      </c>
      <c r="X18" s="469">
        <v>4.1000000000000002E-2</v>
      </c>
      <c r="Y18" s="469">
        <v>0.95</v>
      </c>
      <c r="Z18" s="469">
        <v>3.5</v>
      </c>
      <c r="AA18" s="469">
        <v>25</v>
      </c>
      <c r="AB18" s="469">
        <v>1.2</v>
      </c>
      <c r="AC18" s="469">
        <v>0.82</v>
      </c>
      <c r="AD18" s="469">
        <v>0.25</v>
      </c>
      <c r="AE18" s="469">
        <v>0.45</v>
      </c>
      <c r="AF18" s="469">
        <v>0.81</v>
      </c>
      <c r="AG18" s="469">
        <v>2.7E-2</v>
      </c>
      <c r="AH18" s="469">
        <v>3.5</v>
      </c>
      <c r="AI18" s="469">
        <v>4.5999999999999999E-2</v>
      </c>
      <c r="AJ18" s="469">
        <v>8.3000000000000004E-2</v>
      </c>
      <c r="AK18" s="469">
        <v>3.8E-3</v>
      </c>
      <c r="AL18" s="475">
        <v>6.7999999999999996E-3</v>
      </c>
      <c r="AM18" s="475">
        <v>0.13</v>
      </c>
      <c r="AN18" s="476" t="s">
        <v>282</v>
      </c>
      <c r="AO18" s="475">
        <v>7.3000000000000001E-3</v>
      </c>
      <c r="AP18" s="469">
        <v>5.2</v>
      </c>
      <c r="AQ18" s="471">
        <v>0.17</v>
      </c>
      <c r="AR18" s="468">
        <v>2.1000000000000001E-2</v>
      </c>
      <c r="AS18" s="470">
        <v>0.82</v>
      </c>
      <c r="AT18" s="470">
        <v>0.96</v>
      </c>
      <c r="AU18" s="470">
        <v>0.37</v>
      </c>
      <c r="AV18" s="470">
        <v>1.3</v>
      </c>
      <c r="AW18" s="469">
        <v>1.3</v>
      </c>
      <c r="AX18" s="475">
        <v>0.66</v>
      </c>
      <c r="AY18" s="475">
        <v>0.19</v>
      </c>
      <c r="AZ18" s="475">
        <v>3.5</v>
      </c>
      <c r="BA18" s="475">
        <v>0.85</v>
      </c>
      <c r="BB18" s="479" t="s">
        <v>282</v>
      </c>
      <c r="BC18" s="620">
        <f t="shared" si="3"/>
        <v>0.99171428571428577</v>
      </c>
      <c r="BD18" s="617">
        <f t="shared" si="4"/>
        <v>0.99999999999999989</v>
      </c>
      <c r="BE18" s="616"/>
      <c r="BF18" s="617">
        <f t="shared" si="5"/>
        <v>4.7887323943661978E-4</v>
      </c>
      <c r="BG18" s="617">
        <f t="shared" si="6"/>
        <v>1.370967741935484E-3</v>
      </c>
      <c r="BH18" s="617">
        <f t="shared" si="7"/>
        <v>0.125</v>
      </c>
      <c r="BI18" s="617">
        <f t="shared" si="8"/>
        <v>1.3043478260869564E-3</v>
      </c>
      <c r="BJ18" s="617">
        <f t="shared" si="9"/>
        <v>0.11666666666666667</v>
      </c>
      <c r="BK18" s="617">
        <f t="shared" si="10"/>
        <v>1.7435897435897436E-3</v>
      </c>
      <c r="BL18" s="617">
        <f t="shared" si="11"/>
        <v>6.9958847736625515E-4</v>
      </c>
      <c r="BM18" s="617">
        <f t="shared" si="12"/>
        <v>1.65E-3</v>
      </c>
      <c r="BN18" s="621">
        <f t="shared" si="13"/>
        <v>126.84984098137211</v>
      </c>
      <c r="BO18" s="621">
        <f t="shared" si="14"/>
        <v>122.06419271370963</v>
      </c>
      <c r="BP18" s="618">
        <f t="shared" si="15"/>
        <v>1.0392059961342373</v>
      </c>
      <c r="BQ18" s="616"/>
      <c r="BR18" s="615">
        <f t="shared" si="16"/>
        <v>8.25</v>
      </c>
      <c r="BS18" s="615">
        <f t="shared" si="17"/>
        <v>0.10965000000000001</v>
      </c>
      <c r="BT18" s="615">
        <f t="shared" si="18"/>
        <v>7.4999999999999997E-2</v>
      </c>
      <c r="BU18" s="615">
        <f t="shared" si="19"/>
        <v>5.6000000000000005</v>
      </c>
      <c r="BV18" s="615">
        <f t="shared" si="20"/>
        <v>0.85</v>
      </c>
      <c r="BW18" s="615">
        <f t="shared" si="21"/>
        <v>0.5514</v>
      </c>
      <c r="BX18" s="615">
        <f t="shared" si="0"/>
        <v>5.8799999999999998E-2</v>
      </c>
      <c r="BY18" s="615">
        <f t="shared" si="22"/>
        <v>8.8319999999999996E-2</v>
      </c>
      <c r="BZ18" s="615">
        <f t="shared" si="23"/>
        <v>2.3379999999999998E-2</v>
      </c>
      <c r="CA18" s="615">
        <f t="shared" si="24"/>
        <v>15.606549999999997</v>
      </c>
      <c r="CB18" s="618">
        <f t="shared" si="25"/>
        <v>0.78032749999999984</v>
      </c>
      <c r="CC18" s="617"/>
      <c r="CD18" s="617">
        <f t="shared" si="26"/>
        <v>0.8045977011494253</v>
      </c>
      <c r="CE18" s="617" t="e">
        <f t="shared" si="27"/>
        <v>#VALUE!</v>
      </c>
      <c r="CF18" s="617">
        <f t="shared" si="28"/>
        <v>0</v>
      </c>
      <c r="CG18" s="617">
        <f t="shared" si="29"/>
        <v>0.84999999999999987</v>
      </c>
    </row>
    <row r="19" spans="2:85" ht="20.149999999999999" customHeight="1" x14ac:dyDescent="0.2">
      <c r="B19" s="31" t="s">
        <v>61</v>
      </c>
      <c r="C19" s="46" t="s">
        <v>92</v>
      </c>
      <c r="D19" s="480">
        <v>20</v>
      </c>
      <c r="E19" s="485">
        <v>2.5999999999999999E-2</v>
      </c>
      <c r="F19" s="482">
        <v>0.13</v>
      </c>
      <c r="G19" s="482">
        <v>5.2</v>
      </c>
      <c r="H19" s="483">
        <v>1.7000000000000001E-2</v>
      </c>
      <c r="I19" s="482">
        <v>1.9</v>
      </c>
      <c r="J19" s="482">
        <v>5.2999999999999999E-2</v>
      </c>
      <c r="K19" s="482">
        <v>5.4999999999999997E-3</v>
      </c>
      <c r="L19" s="484">
        <v>2.5999999999999999E-2</v>
      </c>
      <c r="M19" s="485">
        <v>70</v>
      </c>
      <c r="N19" s="482">
        <v>49</v>
      </c>
      <c r="O19" s="486" t="s">
        <v>232</v>
      </c>
      <c r="P19" s="482">
        <v>87</v>
      </c>
      <c r="Q19" s="482">
        <v>47</v>
      </c>
      <c r="R19" s="482">
        <v>9.7999999999999997E-3</v>
      </c>
      <c r="S19" s="482" t="s">
        <v>565</v>
      </c>
      <c r="T19" s="496">
        <v>2</v>
      </c>
      <c r="U19" s="482">
        <v>1.2</v>
      </c>
      <c r="V19" s="482">
        <v>5.0999999999999996</v>
      </c>
      <c r="W19" s="482">
        <v>66</v>
      </c>
      <c r="X19" s="482">
        <v>3.4000000000000002E-2</v>
      </c>
      <c r="Y19" s="496">
        <v>1</v>
      </c>
      <c r="Z19" s="482">
        <v>3.5</v>
      </c>
      <c r="AA19" s="482">
        <v>23</v>
      </c>
      <c r="AB19" s="482">
        <v>0.92</v>
      </c>
      <c r="AC19" s="482">
        <v>0.75</v>
      </c>
      <c r="AD19" s="482">
        <v>0.21</v>
      </c>
      <c r="AE19" s="482">
        <v>0.45</v>
      </c>
      <c r="AF19" s="482">
        <v>1.8</v>
      </c>
      <c r="AG19" s="497">
        <v>0.03</v>
      </c>
      <c r="AH19" s="482">
        <v>3.1</v>
      </c>
      <c r="AI19" s="482">
        <v>4.2000000000000003E-2</v>
      </c>
      <c r="AJ19" s="482">
        <v>6.8000000000000005E-2</v>
      </c>
      <c r="AK19" s="482">
        <v>3.8999999999999998E-3</v>
      </c>
      <c r="AL19" s="487">
        <v>7.1000000000000004E-3</v>
      </c>
      <c r="AM19" s="487">
        <v>0.16</v>
      </c>
      <c r="AN19" s="488" t="s">
        <v>282</v>
      </c>
      <c r="AO19" s="487">
        <v>6.3E-3</v>
      </c>
      <c r="AP19" s="482">
        <v>4.9000000000000004</v>
      </c>
      <c r="AQ19" s="484">
        <v>0.13</v>
      </c>
      <c r="AR19" s="485" t="s">
        <v>298</v>
      </c>
      <c r="AS19" s="483">
        <v>0.78</v>
      </c>
      <c r="AT19" s="483">
        <v>0.92</v>
      </c>
      <c r="AU19" s="483">
        <v>0.37</v>
      </c>
      <c r="AV19" s="483">
        <v>1.2</v>
      </c>
      <c r="AW19" s="482">
        <v>1.2</v>
      </c>
      <c r="AX19" s="498">
        <v>0.7</v>
      </c>
      <c r="AY19" s="487">
        <v>0.18</v>
      </c>
      <c r="AZ19" s="487">
        <v>3.3</v>
      </c>
      <c r="BA19" s="487">
        <v>0.88</v>
      </c>
      <c r="BB19" s="489" t="s">
        <v>282</v>
      </c>
      <c r="BC19" s="619">
        <f t="shared" si="3"/>
        <v>0.99090909090909107</v>
      </c>
      <c r="BD19" s="610">
        <f t="shared" si="4"/>
        <v>1.0000000000000002</v>
      </c>
      <c r="BF19" s="610">
        <f t="shared" si="5"/>
        <v>7.3239436619718307E-4</v>
      </c>
      <c r="BG19" s="610">
        <f t="shared" si="6"/>
        <v>2.096774193548387E-3</v>
      </c>
      <c r="BH19" s="610">
        <f t="shared" si="7"/>
        <v>0.10833333333333334</v>
      </c>
      <c r="BI19" s="610">
        <f t="shared" si="8"/>
        <v>7.3913043478260874E-4</v>
      </c>
      <c r="BJ19" s="610">
        <f t="shared" si="9"/>
        <v>0.10555555555555556</v>
      </c>
      <c r="BK19" s="610">
        <f t="shared" si="10"/>
        <v>1.3589743589743589E-3</v>
      </c>
      <c r="BL19" s="610">
        <f t="shared" si="11"/>
        <v>4.5267489711934151E-4</v>
      </c>
      <c r="BM19" s="610">
        <f t="shared" si="12"/>
        <v>1.2999999999999999E-3</v>
      </c>
      <c r="BN19" s="563">
        <f t="shared" si="13"/>
        <v>111.16250189307891</v>
      </c>
      <c r="BO19" s="563">
        <f t="shared" si="14"/>
        <v>109.40633524643185</v>
      </c>
      <c r="BP19" s="611">
        <f t="shared" si="15"/>
        <v>1.016051782035212</v>
      </c>
      <c r="BR19" s="564">
        <f t="shared" si="16"/>
        <v>7.15</v>
      </c>
      <c r="BS19" s="564">
        <f t="shared" si="17"/>
        <v>0.16770000000000002</v>
      </c>
      <c r="BT19" s="564">
        <f t="shared" si="18"/>
        <v>4.2500000000000003E-2</v>
      </c>
      <c r="BU19" s="564">
        <f t="shared" si="19"/>
        <v>5.28</v>
      </c>
      <c r="BV19" s="564">
        <f t="shared" si="20"/>
        <v>0.88</v>
      </c>
      <c r="BW19" s="564">
        <f t="shared" si="21"/>
        <v>0.45030999999999999</v>
      </c>
      <c r="BX19" s="564">
        <f t="shared" si="0"/>
        <v>6.5799999999999997E-2</v>
      </c>
      <c r="BY19" s="564">
        <f t="shared" si="22"/>
        <v>9.1079999999999994E-2</v>
      </c>
      <c r="BZ19" s="564" t="e">
        <f t="shared" si="23"/>
        <v>#VALUE!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0.78947368421052633</v>
      </c>
      <c r="CE19" s="610" t="e">
        <f t="shared" si="27"/>
        <v>#VALUE!</v>
      </c>
      <c r="CF19" s="610">
        <f t="shared" si="28"/>
        <v>0</v>
      </c>
      <c r="CG19" s="610">
        <f t="shared" si="29"/>
        <v>0.88000000000000012</v>
      </c>
    </row>
    <row r="20" spans="2:85" ht="20.149999999999999" customHeight="1" x14ac:dyDescent="0.2">
      <c r="B20" s="21" t="s">
        <v>61</v>
      </c>
      <c r="C20" s="52" t="s">
        <v>210</v>
      </c>
      <c r="D20" s="499">
        <v>25.1</v>
      </c>
      <c r="E20" s="500">
        <v>0.02</v>
      </c>
      <c r="F20" s="501">
        <v>9.2999999999999999E-2</v>
      </c>
      <c r="G20" s="501">
        <v>7.7</v>
      </c>
      <c r="H20" s="502">
        <v>2.3E-2</v>
      </c>
      <c r="I20" s="501">
        <v>2.7</v>
      </c>
      <c r="J20" s="501">
        <v>7.4999999999999997E-2</v>
      </c>
      <c r="K20" s="501">
        <v>8.5000000000000006E-3</v>
      </c>
      <c r="L20" s="503">
        <v>4.7E-2</v>
      </c>
      <c r="M20" s="504">
        <v>52</v>
      </c>
      <c r="N20" s="501">
        <v>100</v>
      </c>
      <c r="O20" s="505" t="s">
        <v>232</v>
      </c>
      <c r="P20" s="501">
        <v>140</v>
      </c>
      <c r="Q20" s="501">
        <v>76</v>
      </c>
      <c r="R20" s="501">
        <v>2.3E-2</v>
      </c>
      <c r="S20" s="501">
        <v>15</v>
      </c>
      <c r="T20" s="501">
        <v>2.4</v>
      </c>
      <c r="U20" s="501">
        <v>1.3</v>
      </c>
      <c r="V20" s="501">
        <v>5.9</v>
      </c>
      <c r="W20" s="501">
        <v>98</v>
      </c>
      <c r="X20" s="501">
        <v>5.2999999999999999E-2</v>
      </c>
      <c r="Y20" s="506">
        <v>1</v>
      </c>
      <c r="Z20" s="501">
        <v>4.0999999999999996</v>
      </c>
      <c r="AA20" s="501">
        <v>27</v>
      </c>
      <c r="AB20" s="501">
        <v>1.4</v>
      </c>
      <c r="AC20" s="501">
        <v>0.93</v>
      </c>
      <c r="AD20" s="507">
        <v>0.3</v>
      </c>
      <c r="AE20" s="507">
        <v>0.5</v>
      </c>
      <c r="AF20" s="501">
        <v>1.2</v>
      </c>
      <c r="AG20" s="501">
        <v>3.5000000000000003E-2</v>
      </c>
      <c r="AH20" s="501">
        <v>5.0999999999999996</v>
      </c>
      <c r="AI20" s="501">
        <v>5.7000000000000002E-2</v>
      </c>
      <c r="AJ20" s="501">
        <v>9.8000000000000004E-2</v>
      </c>
      <c r="AK20" s="501">
        <v>6.8999999999999999E-3</v>
      </c>
      <c r="AL20" s="508">
        <v>2.5999999999999999E-2</v>
      </c>
      <c r="AM20" s="508">
        <v>0.17</v>
      </c>
      <c r="AN20" s="509" t="s">
        <v>282</v>
      </c>
      <c r="AO20" s="508">
        <v>1.2999999999999999E-2</v>
      </c>
      <c r="AP20" s="501">
        <v>8.1999999999999993</v>
      </c>
      <c r="AQ20" s="503">
        <v>0.22</v>
      </c>
      <c r="AR20" s="504" t="s">
        <v>298</v>
      </c>
      <c r="AS20" s="502">
        <v>0.99</v>
      </c>
      <c r="AT20" s="502">
        <v>1.2</v>
      </c>
      <c r="AU20" s="502">
        <v>0.45</v>
      </c>
      <c r="AV20" s="502">
        <v>1.7</v>
      </c>
      <c r="AW20" s="506">
        <v>2</v>
      </c>
      <c r="AX20" s="508">
        <v>0.72</v>
      </c>
      <c r="AY20" s="508">
        <v>0.19</v>
      </c>
      <c r="AZ20" s="508">
        <v>4.3</v>
      </c>
      <c r="BA20" s="508">
        <v>1.2</v>
      </c>
      <c r="BB20" s="510" t="s">
        <v>282</v>
      </c>
      <c r="BC20" s="619">
        <f t="shared" si="3"/>
        <v>1.0093023255813953</v>
      </c>
      <c r="BD20" s="610">
        <f t="shared" si="4"/>
        <v>1.0083333333333331</v>
      </c>
      <c r="BF20" s="610">
        <f t="shared" si="5"/>
        <v>5.6338028169014088E-4</v>
      </c>
      <c r="BG20" s="610">
        <f t="shared" si="6"/>
        <v>1.5E-3</v>
      </c>
      <c r="BH20" s="610">
        <f t="shared" si="7"/>
        <v>0.16041666666666668</v>
      </c>
      <c r="BI20" s="610">
        <f t="shared" si="8"/>
        <v>1E-3</v>
      </c>
      <c r="BJ20" s="610">
        <f t="shared" si="9"/>
        <v>0.15000000000000002</v>
      </c>
      <c r="BK20" s="610">
        <f t="shared" si="10"/>
        <v>1.923076923076923E-3</v>
      </c>
      <c r="BL20" s="610">
        <f t="shared" si="11"/>
        <v>6.9958847736625515E-4</v>
      </c>
      <c r="BM20" s="610">
        <f t="shared" si="12"/>
        <v>2.3500000000000001E-3</v>
      </c>
      <c r="BN20" s="563">
        <f t="shared" si="13"/>
        <v>162.48004694835683</v>
      </c>
      <c r="BO20" s="563">
        <f t="shared" si="14"/>
        <v>155.97266540044319</v>
      </c>
      <c r="BP20" s="611">
        <f t="shared" si="15"/>
        <v>1.0417212947615317</v>
      </c>
      <c r="BR20" s="564">
        <f t="shared" si="16"/>
        <v>10.5875</v>
      </c>
      <c r="BS20" s="564">
        <f t="shared" si="17"/>
        <v>0.11997000000000001</v>
      </c>
      <c r="BT20" s="564">
        <f t="shared" si="18"/>
        <v>5.7499999999999996E-2</v>
      </c>
      <c r="BU20" s="564">
        <f t="shared" si="19"/>
        <v>6.88</v>
      </c>
      <c r="BV20" s="564">
        <f t="shared" si="20"/>
        <v>1.2</v>
      </c>
      <c r="BW20" s="564">
        <f t="shared" si="21"/>
        <v>0.91900000000000004</v>
      </c>
      <c r="BX20" s="564">
        <f t="shared" si="0"/>
        <v>0.10639999999999999</v>
      </c>
      <c r="BY20" s="564">
        <f t="shared" si="22"/>
        <v>0.13524</v>
      </c>
      <c r="BZ20" s="564">
        <f t="shared" si="23"/>
        <v>2.5049999999999999E-2</v>
      </c>
      <c r="CA20" s="564">
        <f t="shared" si="24"/>
        <v>20.030660000000001</v>
      </c>
      <c r="CB20" s="611">
        <f t="shared" si="25"/>
        <v>0.79803426294820712</v>
      </c>
      <c r="CD20" s="610">
        <f t="shared" si="26"/>
        <v>0.78181818181818175</v>
      </c>
      <c r="CE20" s="610" t="e">
        <f t="shared" si="27"/>
        <v>#VALUE!</v>
      </c>
      <c r="CF20" s="610">
        <f t="shared" si="28"/>
        <v>0.30000000000000004</v>
      </c>
      <c r="CG20" s="610">
        <f t="shared" si="29"/>
        <v>0.90999999999999992</v>
      </c>
    </row>
    <row r="21" spans="2:85" s="542" customFormat="1" ht="20.149999999999999" customHeight="1" x14ac:dyDescent="0.2">
      <c r="B21" s="538"/>
      <c r="C21" s="539" t="s">
        <v>591</v>
      </c>
      <c r="D21" s="552">
        <f>AVERAGE(D12:D18)</f>
        <v>19.214285714285715</v>
      </c>
      <c r="E21" s="553">
        <f t="shared" ref="E21:BB21" si="30">AVERAGE(E12:E18)</f>
        <v>1.5857142857142858E-2</v>
      </c>
      <c r="F21" s="553">
        <f t="shared" si="30"/>
        <v>0.11028571428571428</v>
      </c>
      <c r="G21" s="552">
        <f t="shared" si="30"/>
        <v>6.8428571428571425</v>
      </c>
      <c r="H21" s="553">
        <f t="shared" si="30"/>
        <v>5.3285714285714283E-2</v>
      </c>
      <c r="I21" s="552">
        <f t="shared" si="30"/>
        <v>2.3514285714285714</v>
      </c>
      <c r="J21" s="553">
        <f t="shared" si="30"/>
        <v>7.2714285714285731E-2</v>
      </c>
      <c r="K21" s="553">
        <f t="shared" si="30"/>
        <v>1.0528571428571427E-2</v>
      </c>
      <c r="L21" s="553">
        <f t="shared" si="30"/>
        <v>3.0857142857142857E-2</v>
      </c>
      <c r="M21" s="552">
        <f t="shared" si="30"/>
        <v>85</v>
      </c>
      <c r="N21" s="552">
        <f t="shared" si="30"/>
        <v>53.428571428571431</v>
      </c>
      <c r="O21" s="552" t="e">
        <f t="shared" si="30"/>
        <v>#DIV/0!</v>
      </c>
      <c r="P21" s="552">
        <f t="shared" si="30"/>
        <v>108.42857142857143</v>
      </c>
      <c r="Q21" s="552">
        <f t="shared" si="30"/>
        <v>45.857142857142854</v>
      </c>
      <c r="R21" s="552">
        <f t="shared" si="30"/>
        <v>1.0685714285714284E-2</v>
      </c>
      <c r="S21" s="552">
        <f t="shared" si="30"/>
        <v>4.1714285714285717</v>
      </c>
      <c r="T21" s="552">
        <f t="shared" si="30"/>
        <v>2.922857142857143</v>
      </c>
      <c r="U21" s="552">
        <f t="shared" si="30"/>
        <v>1.0557142857142858</v>
      </c>
      <c r="V21" s="552">
        <f t="shared" si="30"/>
        <v>5.2714285714285722</v>
      </c>
      <c r="W21" s="552">
        <f t="shared" si="30"/>
        <v>63.285714285714285</v>
      </c>
      <c r="X21" s="552">
        <f t="shared" si="30"/>
        <v>4.6714285714285708E-2</v>
      </c>
      <c r="Y21" s="552">
        <f t="shared" si="30"/>
        <v>1.2142857142857142</v>
      </c>
      <c r="Z21" s="552">
        <f t="shared" si="30"/>
        <v>4.3999999999999995</v>
      </c>
      <c r="AA21" s="552">
        <f t="shared" si="30"/>
        <v>26.985714285714288</v>
      </c>
      <c r="AB21" s="552">
        <f t="shared" si="30"/>
        <v>1.3642857142857141</v>
      </c>
      <c r="AC21" s="553">
        <f t="shared" si="30"/>
        <v>0.93714285714285717</v>
      </c>
      <c r="AD21" s="553">
        <f t="shared" si="30"/>
        <v>0.27285714285714285</v>
      </c>
      <c r="AE21" s="553">
        <f t="shared" si="30"/>
        <v>0.5714285714285714</v>
      </c>
      <c r="AF21" s="553">
        <f t="shared" si="30"/>
        <v>1.1042857142857143</v>
      </c>
      <c r="AG21" s="553">
        <f t="shared" si="30"/>
        <v>3.0142857142857141E-2</v>
      </c>
      <c r="AH21" s="553">
        <f t="shared" si="30"/>
        <v>4.4000000000000004</v>
      </c>
      <c r="AI21" s="553">
        <f t="shared" si="30"/>
        <v>4.8571428571428578E-2</v>
      </c>
      <c r="AJ21" s="553">
        <f t="shared" si="30"/>
        <v>8.1571428571428559E-2</v>
      </c>
      <c r="AK21" s="553">
        <f t="shared" si="30"/>
        <v>3.5428571428571432E-3</v>
      </c>
      <c r="AL21" s="553">
        <f t="shared" si="30"/>
        <v>9.6714285714285704E-3</v>
      </c>
      <c r="AM21" s="553">
        <f t="shared" si="30"/>
        <v>0.17399999999999999</v>
      </c>
      <c r="AN21" s="553" t="e">
        <f t="shared" si="30"/>
        <v>#DIV/0!</v>
      </c>
      <c r="AO21" s="553">
        <f t="shared" si="30"/>
        <v>7.2000000000000007E-3</v>
      </c>
      <c r="AP21" s="553">
        <f t="shared" si="30"/>
        <v>7.3571428571428568</v>
      </c>
      <c r="AQ21" s="553">
        <f t="shared" si="30"/>
        <v>0.24842857142857144</v>
      </c>
      <c r="AR21" s="552">
        <f t="shared" si="30"/>
        <v>1.342857142857143E-2</v>
      </c>
      <c r="AS21" s="552">
        <f t="shared" si="30"/>
        <v>0.65857142857142859</v>
      </c>
      <c r="AT21" s="552">
        <f t="shared" si="30"/>
        <v>0.77571428571428569</v>
      </c>
      <c r="AU21" s="552">
        <f t="shared" si="30"/>
        <v>0.2985714285714286</v>
      </c>
      <c r="AV21" s="552">
        <f t="shared" si="30"/>
        <v>0.87714285714285711</v>
      </c>
      <c r="AW21" s="552">
        <f t="shared" si="30"/>
        <v>1.2071428571428573</v>
      </c>
      <c r="AX21" s="552">
        <f t="shared" si="30"/>
        <v>0.50142857142857145</v>
      </c>
      <c r="AY21" s="552">
        <f t="shared" si="30"/>
        <v>0.11457142857142857</v>
      </c>
      <c r="AZ21" s="552">
        <f t="shared" si="30"/>
        <v>2.6285714285714286</v>
      </c>
      <c r="BA21" s="552">
        <f t="shared" si="30"/>
        <v>0.93285714285714272</v>
      </c>
      <c r="BB21" s="552" t="e">
        <f t="shared" si="30"/>
        <v>#DIV/0!</v>
      </c>
      <c r="CD21" s="691">
        <f>AVERAGE(CD12:CD18)</f>
        <v>0.73132842396965192</v>
      </c>
      <c r="CE21" s="691" t="e">
        <f>AVERAGE(CE12:CE18)</f>
        <v>#VALUE!</v>
      </c>
      <c r="CF21" s="691">
        <f>AVERAGE(CF12:CF18)</f>
        <v>0.33000000000000007</v>
      </c>
      <c r="CG21" s="691">
        <f>AVERAGE(CG12:CG18)</f>
        <v>0.61599999999999999</v>
      </c>
    </row>
    <row r="22" spans="2:85" s="542" customFormat="1" ht="18.75" customHeight="1" x14ac:dyDescent="0.2">
      <c r="B22" s="543"/>
      <c r="C22" s="543" t="s">
        <v>592</v>
      </c>
      <c r="D22" s="554">
        <f>AVERAGE(D7:D20)</f>
        <v>16.242857142857144</v>
      </c>
      <c r="E22" s="555">
        <f t="shared" ref="E22:BB22" si="31">AVERAGE(E7:E20)</f>
        <v>1.6024999999999998E-2</v>
      </c>
      <c r="F22" s="555">
        <f t="shared" si="31"/>
        <v>0.10138461538461539</v>
      </c>
      <c r="G22" s="554">
        <f t="shared" si="31"/>
        <v>4.8992857142857149</v>
      </c>
      <c r="H22" s="555">
        <f t="shared" si="31"/>
        <v>4.2035714285714287E-2</v>
      </c>
      <c r="I22" s="554">
        <f t="shared" si="31"/>
        <v>1.6972142857142856</v>
      </c>
      <c r="J22" s="555">
        <f t="shared" si="31"/>
        <v>6.6357142857142865E-2</v>
      </c>
      <c r="K22" s="555">
        <f t="shared" si="31"/>
        <v>9.4500000000000001E-3</v>
      </c>
      <c r="L22" s="555">
        <f t="shared" si="31"/>
        <v>2.7214285714285712E-2</v>
      </c>
      <c r="M22" s="554">
        <f t="shared" si="31"/>
        <v>75.615384615384613</v>
      </c>
      <c r="N22" s="554">
        <f t="shared" si="31"/>
        <v>48.199999999999996</v>
      </c>
      <c r="O22" s="554" t="e">
        <f t="shared" si="31"/>
        <v>#DIV/0!</v>
      </c>
      <c r="P22" s="554">
        <f t="shared" si="31"/>
        <v>96.071428571428569</v>
      </c>
      <c r="Q22" s="554">
        <f t="shared" si="31"/>
        <v>46.18181818181818</v>
      </c>
      <c r="R22" s="554">
        <f t="shared" si="31"/>
        <v>9.499999999999998E-3</v>
      </c>
      <c r="S22" s="554">
        <f t="shared" si="31"/>
        <v>5.95</v>
      </c>
      <c r="T22" s="554">
        <f t="shared" si="31"/>
        <v>2.0092857142857143</v>
      </c>
      <c r="U22" s="554">
        <f t="shared" si="31"/>
        <v>1.0341666666666667</v>
      </c>
      <c r="V22" s="554">
        <f t="shared" si="31"/>
        <v>4.5071428571428571</v>
      </c>
      <c r="W22" s="554">
        <f t="shared" si="31"/>
        <v>56.571428571428569</v>
      </c>
      <c r="X22" s="554">
        <f t="shared" si="31"/>
        <v>3.6499999999999998E-2</v>
      </c>
      <c r="Y22" s="554">
        <f t="shared" si="31"/>
        <v>0.86657142857142855</v>
      </c>
      <c r="Z22" s="554">
        <f t="shared" si="31"/>
        <v>3.9499999999999997</v>
      </c>
      <c r="AA22" s="554">
        <f t="shared" si="31"/>
        <v>20.214285714285715</v>
      </c>
      <c r="AB22" s="554">
        <f t="shared" si="31"/>
        <v>0.9553571428571429</v>
      </c>
      <c r="AC22" s="555">
        <f t="shared" si="31"/>
        <v>0.72692307692307689</v>
      </c>
      <c r="AD22" s="555">
        <f t="shared" si="31"/>
        <v>0.20864285714285713</v>
      </c>
      <c r="AE22" s="555">
        <f t="shared" si="31"/>
        <v>0.42785714285714288</v>
      </c>
      <c r="AF22" s="555">
        <f t="shared" si="31"/>
        <v>1.0657142857142858</v>
      </c>
      <c r="AG22" s="555">
        <f t="shared" si="31"/>
        <v>2.3242857142857145E-2</v>
      </c>
      <c r="AH22" s="555">
        <f t="shared" si="31"/>
        <v>4.5642857142857141</v>
      </c>
      <c r="AI22" s="555">
        <f t="shared" si="31"/>
        <v>4.016923076923077E-2</v>
      </c>
      <c r="AJ22" s="555">
        <f t="shared" si="31"/>
        <v>7.2166666666666671E-2</v>
      </c>
      <c r="AK22" s="555">
        <f t="shared" si="31"/>
        <v>3.0650000000000004E-3</v>
      </c>
      <c r="AL22" s="555">
        <f t="shared" si="31"/>
        <v>9.585714285714286E-3</v>
      </c>
      <c r="AM22" s="555">
        <f t="shared" si="31"/>
        <v>0.14200714285714283</v>
      </c>
      <c r="AN22" s="555" t="e">
        <f t="shared" si="31"/>
        <v>#DIV/0!</v>
      </c>
      <c r="AO22" s="555">
        <f t="shared" si="31"/>
        <v>5.9142857142857139E-3</v>
      </c>
      <c r="AP22" s="555">
        <f t="shared" si="31"/>
        <v>5.2857142857142856</v>
      </c>
      <c r="AQ22" s="555">
        <f t="shared" si="31"/>
        <v>0.16742857142857145</v>
      </c>
      <c r="AR22" s="554">
        <f t="shared" si="31"/>
        <v>1.342857142857143E-2</v>
      </c>
      <c r="AS22" s="554">
        <f t="shared" si="31"/>
        <v>0.62714285714285711</v>
      </c>
      <c r="AT22" s="554">
        <f t="shared" si="31"/>
        <v>0.8978571428571428</v>
      </c>
      <c r="AU22" s="554">
        <f t="shared" si="31"/>
        <v>0.34428571428571436</v>
      </c>
      <c r="AV22" s="554">
        <f t="shared" si="31"/>
        <v>1.0033333333333332</v>
      </c>
      <c r="AW22" s="554">
        <f t="shared" si="31"/>
        <v>1.1385714285714286</v>
      </c>
      <c r="AX22" s="554">
        <f t="shared" si="31"/>
        <v>0.45721428571428574</v>
      </c>
      <c r="AY22" s="554">
        <f t="shared" si="31"/>
        <v>0.11399999999999999</v>
      </c>
      <c r="AZ22" s="554">
        <f t="shared" si="31"/>
        <v>2.7364285714285712</v>
      </c>
      <c r="BA22" s="554">
        <f t="shared" si="31"/>
        <v>0.84285714285714275</v>
      </c>
      <c r="BB22" s="554" t="e">
        <f t="shared" si="31"/>
        <v>#DIV/0!</v>
      </c>
      <c r="CD22" s="691">
        <f>AVERAGE(CD7:CD20)</f>
        <v>0.74782163078826147</v>
      </c>
      <c r="CE22" s="691" t="e">
        <f>AVERAGE(CE7:CE20)</f>
        <v>#VALUE!</v>
      </c>
      <c r="CF22" s="691" t="e">
        <f>AVERAGE(CF7:CF20)</f>
        <v>#VALUE!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11"/>
      <c r="E23" s="445">
        <v>5.7000000000000002E-3</v>
      </c>
      <c r="F23" s="444">
        <v>1.7999999999999999E-2</v>
      </c>
      <c r="G23" s="444">
        <v>2.5000000000000001E-2</v>
      </c>
      <c r="H23" s="445">
        <v>3.0999999999999999E-3</v>
      </c>
      <c r="I23" s="444">
        <v>9.7999999999999997E-3</v>
      </c>
      <c r="J23" s="444">
        <v>1.6000000000000001E-3</v>
      </c>
      <c r="K23" s="512">
        <v>5.1999999999999995E-4</v>
      </c>
      <c r="L23" s="446">
        <v>3.5999999999999999E-3</v>
      </c>
      <c r="M23" s="445">
        <v>16</v>
      </c>
      <c r="N23" s="444">
        <v>2.5</v>
      </c>
      <c r="O23" s="447" t="s">
        <v>232</v>
      </c>
      <c r="P23" s="444">
        <v>4.3</v>
      </c>
      <c r="Q23" s="444">
        <v>27</v>
      </c>
      <c r="R23" s="444">
        <v>1.9E-3</v>
      </c>
      <c r="S23" s="444">
        <v>3.6</v>
      </c>
      <c r="T23" s="444">
        <v>3.8E-3</v>
      </c>
      <c r="U23" s="444">
        <v>0.72</v>
      </c>
      <c r="V23" s="444">
        <v>6.3E-2</v>
      </c>
      <c r="W23" s="444">
        <v>1.7</v>
      </c>
      <c r="X23" s="444">
        <v>8.2000000000000007E-3</v>
      </c>
      <c r="Y23" s="444">
        <v>3.7999999999999999E-2</v>
      </c>
      <c r="Z23" s="444">
        <v>0.93</v>
      </c>
      <c r="AA23" s="444">
        <v>0.71</v>
      </c>
      <c r="AB23" s="444">
        <v>2.7000000000000001E-3</v>
      </c>
      <c r="AC23" s="444">
        <v>5.8000000000000003E-2</v>
      </c>
      <c r="AD23" s="444">
        <v>2.5000000000000001E-3</v>
      </c>
      <c r="AE23" s="444">
        <v>4.1999999999999997E-3</v>
      </c>
      <c r="AF23" s="444">
        <v>1.2E-2</v>
      </c>
      <c r="AG23" s="444">
        <v>1.6000000000000001E-3</v>
      </c>
      <c r="AH23" s="444">
        <v>3.5000000000000003E-2</v>
      </c>
      <c r="AI23" s="444">
        <v>7.3000000000000001E-3</v>
      </c>
      <c r="AJ23" s="444">
        <v>1.7999999999999999E-2</v>
      </c>
      <c r="AK23" s="444">
        <v>6.4000000000000005E-4</v>
      </c>
      <c r="AL23" s="449">
        <v>1.8E-3</v>
      </c>
      <c r="AM23" s="513">
        <v>6.7999999999999996E-3</v>
      </c>
      <c r="AN23" s="11" t="s">
        <v>282</v>
      </c>
      <c r="AO23" s="514">
        <v>2.9999999999999997E-4</v>
      </c>
      <c r="AP23" s="515">
        <v>1.0999999999999999E-2</v>
      </c>
      <c r="AQ23" s="516">
        <v>2.3999999999999998E-3</v>
      </c>
      <c r="AR23" s="443">
        <v>1.2E-2</v>
      </c>
      <c r="AS23" s="445">
        <v>1.9E-2</v>
      </c>
      <c r="AT23" s="445">
        <v>0.11</v>
      </c>
      <c r="AU23" s="445">
        <v>7.1999999999999995E-2</v>
      </c>
      <c r="AV23" s="445">
        <v>0.16</v>
      </c>
      <c r="AW23" s="444">
        <v>0.11</v>
      </c>
      <c r="AX23" s="449">
        <v>4.4999999999999998E-2</v>
      </c>
      <c r="AY23" s="517">
        <v>0.02</v>
      </c>
      <c r="AZ23" s="449"/>
      <c r="BA23" s="449"/>
      <c r="BB23" s="451" t="s">
        <v>282</v>
      </c>
    </row>
    <row r="24" spans="2:85" ht="20.149999999999999" customHeight="1" x14ac:dyDescent="0.2">
      <c r="B24" s="692" t="s">
        <v>95</v>
      </c>
      <c r="C24" s="693"/>
      <c r="D24" s="518"/>
      <c r="E24" s="502">
        <v>1.9E-2</v>
      </c>
      <c r="F24" s="501">
        <v>6.0999999999999999E-2</v>
      </c>
      <c r="G24" s="501">
        <v>8.3000000000000004E-2</v>
      </c>
      <c r="H24" s="519">
        <v>0.01</v>
      </c>
      <c r="I24" s="501">
        <v>3.3000000000000002E-2</v>
      </c>
      <c r="J24" s="501">
        <v>5.3E-3</v>
      </c>
      <c r="K24" s="501">
        <v>1.6999999999999999E-3</v>
      </c>
      <c r="L24" s="503">
        <v>1.2E-2</v>
      </c>
      <c r="M24" s="502">
        <v>53</v>
      </c>
      <c r="N24" s="501">
        <v>8.5</v>
      </c>
      <c r="O24" s="505" t="s">
        <v>232</v>
      </c>
      <c r="P24" s="501">
        <v>14</v>
      </c>
      <c r="Q24" s="501">
        <v>91</v>
      </c>
      <c r="R24" s="501">
        <v>6.1999999999999998E-3</v>
      </c>
      <c r="S24" s="501">
        <v>12</v>
      </c>
      <c r="T24" s="501">
        <v>1.2999999999999999E-2</v>
      </c>
      <c r="U24" s="501">
        <v>2.4</v>
      </c>
      <c r="V24" s="501">
        <v>0.21</v>
      </c>
      <c r="W24" s="501">
        <v>5.7</v>
      </c>
      <c r="X24" s="501">
        <v>2.7E-2</v>
      </c>
      <c r="Y24" s="501">
        <v>0.13</v>
      </c>
      <c r="Z24" s="501">
        <v>3.1</v>
      </c>
      <c r="AA24" s="501">
        <v>2.4</v>
      </c>
      <c r="AB24" s="520">
        <v>8.9999999999999993E-3</v>
      </c>
      <c r="AC24" s="501">
        <v>0.19</v>
      </c>
      <c r="AD24" s="501">
        <v>8.5000000000000006E-3</v>
      </c>
      <c r="AE24" s="501">
        <v>1.4E-2</v>
      </c>
      <c r="AF24" s="501">
        <v>3.9E-2</v>
      </c>
      <c r="AG24" s="501">
        <v>5.1999999999999998E-3</v>
      </c>
      <c r="AH24" s="501">
        <v>0.12</v>
      </c>
      <c r="AI24" s="501">
        <v>2.4E-2</v>
      </c>
      <c r="AJ24" s="521">
        <v>0.06</v>
      </c>
      <c r="AK24" s="501">
        <v>2.0999999999999999E-3</v>
      </c>
      <c r="AL24" s="522">
        <v>6.0000000000000001E-3</v>
      </c>
      <c r="AM24" s="508">
        <v>2.3E-2</v>
      </c>
      <c r="AN24" s="509" t="s">
        <v>282</v>
      </c>
      <c r="AO24" s="522">
        <v>1E-3</v>
      </c>
      <c r="AP24" s="501">
        <v>3.6999999999999998E-2</v>
      </c>
      <c r="AQ24" s="503">
        <v>8.0999999999999996E-3</v>
      </c>
      <c r="AR24" s="504">
        <v>3.9E-2</v>
      </c>
      <c r="AS24" s="502">
        <v>6.4000000000000001E-2</v>
      </c>
      <c r="AT24" s="502">
        <v>0.37</v>
      </c>
      <c r="AU24" s="502">
        <v>0.24</v>
      </c>
      <c r="AV24" s="502">
        <v>0.54</v>
      </c>
      <c r="AW24" s="501">
        <v>0.38</v>
      </c>
      <c r="AX24" s="508">
        <v>0.15</v>
      </c>
      <c r="AY24" s="508">
        <v>6.8000000000000005E-2</v>
      </c>
      <c r="AZ24" s="508"/>
      <c r="BA24" s="508"/>
      <c r="BB24" s="510" t="s">
        <v>282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19" priority="6" stopIfTrue="1" operator="notBetween">
      <formula>0.8</formula>
      <formula>1.2</formula>
    </cfRule>
  </conditionalFormatting>
  <conditionalFormatting sqref="BC7:BD20">
    <cfRule type="cellIs" dxfId="18" priority="5" stopIfTrue="1" operator="notBetween">
      <formula>0.9</formula>
      <formula>1.1</formula>
    </cfRule>
  </conditionalFormatting>
  <conditionalFormatting sqref="BP7:BP20">
    <cfRule type="cellIs" dxfId="17" priority="3" stopIfTrue="1" operator="notBetween">
      <formula>0.8</formula>
      <formula>1.2</formula>
    </cfRule>
  </conditionalFormatting>
  <conditionalFormatting sqref="CF7:CF20">
    <cfRule type="cellIs" dxfId="16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48" fitToWidth="2" orientation="landscape" horizont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472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215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2" t="s">
        <v>192</v>
      </c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6.9</v>
      </c>
      <c r="E7" s="255" t="s">
        <v>225</v>
      </c>
      <c r="F7" s="256">
        <v>3.6999999999999998E-2</v>
      </c>
      <c r="G7" s="256">
        <v>2.7</v>
      </c>
      <c r="H7" s="260">
        <v>0.21</v>
      </c>
      <c r="I7" s="256">
        <v>0.85</v>
      </c>
      <c r="J7" s="256">
        <v>0.03</v>
      </c>
      <c r="K7" s="256">
        <v>1.7000000000000001E-2</v>
      </c>
      <c r="L7" s="259" t="s">
        <v>459</v>
      </c>
      <c r="M7" s="255">
        <v>120</v>
      </c>
      <c r="N7" s="256" t="s">
        <v>473</v>
      </c>
      <c r="O7" s="256" t="s">
        <v>233</v>
      </c>
      <c r="P7" s="256">
        <v>16</v>
      </c>
      <c r="Q7" s="256">
        <v>51</v>
      </c>
      <c r="R7" s="256" t="s">
        <v>293</v>
      </c>
      <c r="S7" s="256" t="s">
        <v>235</v>
      </c>
      <c r="T7" s="256">
        <v>7.6</v>
      </c>
      <c r="U7" s="256" t="s">
        <v>69</v>
      </c>
      <c r="V7" s="256">
        <v>0.21</v>
      </c>
      <c r="W7" s="256" t="s">
        <v>474</v>
      </c>
      <c r="X7" s="256">
        <v>1.4999999999999999E-2</v>
      </c>
      <c r="Y7" s="256">
        <v>2.6</v>
      </c>
      <c r="Z7" s="256">
        <v>0.63</v>
      </c>
      <c r="AA7" s="256">
        <v>17</v>
      </c>
      <c r="AB7" s="256" t="s">
        <v>470</v>
      </c>
      <c r="AC7" s="256" t="s">
        <v>471</v>
      </c>
      <c r="AD7" s="256" t="s">
        <v>77</v>
      </c>
      <c r="AE7" s="256" t="s">
        <v>333</v>
      </c>
      <c r="AF7" s="256">
        <v>8.3000000000000004E-2</v>
      </c>
      <c r="AG7" s="256" t="s">
        <v>298</v>
      </c>
      <c r="AH7" s="256">
        <v>0.33</v>
      </c>
      <c r="AI7" s="256">
        <v>2.8000000000000001E-2</v>
      </c>
      <c r="AJ7" s="256" t="s">
        <v>238</v>
      </c>
      <c r="AK7" s="256" t="s">
        <v>462</v>
      </c>
      <c r="AL7" s="258" t="s">
        <v>463</v>
      </c>
      <c r="AM7" s="258" t="s">
        <v>293</v>
      </c>
      <c r="AN7" s="258" t="s">
        <v>475</v>
      </c>
      <c r="AO7" s="258" t="s">
        <v>73</v>
      </c>
      <c r="AP7" s="256">
        <v>7.6999999999999999E-2</v>
      </c>
      <c r="AQ7" s="259" t="s">
        <v>287</v>
      </c>
      <c r="AR7" s="255" t="s">
        <v>285</v>
      </c>
      <c r="AS7" s="260" t="s">
        <v>466</v>
      </c>
      <c r="AT7" s="260" t="s">
        <v>476</v>
      </c>
      <c r="AU7" s="260">
        <v>0.12</v>
      </c>
      <c r="AV7" s="260">
        <v>0.13</v>
      </c>
      <c r="AW7" s="256">
        <v>0.21</v>
      </c>
      <c r="AX7" s="258">
        <v>0.43</v>
      </c>
      <c r="AY7" s="258" t="s">
        <v>477</v>
      </c>
      <c r="AZ7" s="258">
        <v>0.25</v>
      </c>
      <c r="BA7" s="258">
        <v>0.51</v>
      </c>
      <c r="BB7" s="259"/>
      <c r="BC7" s="619">
        <f>SUM(AR7:AV7)/AZ7</f>
        <v>1</v>
      </c>
      <c r="BD7" s="610">
        <f>(SUM(AW7:AY7)-AV7)/BA7</f>
        <v>1</v>
      </c>
      <c r="BF7" s="610" t="e">
        <f>E7/35.5</f>
        <v>#VALUE!</v>
      </c>
      <c r="BG7" s="610">
        <f>F7/62</f>
        <v>5.9677419354838706E-4</v>
      </c>
      <c r="BH7" s="610">
        <f>G7/(96/2)</f>
        <v>5.6250000000000001E-2</v>
      </c>
      <c r="BI7" s="610">
        <f>H7/23</f>
        <v>9.1304347826086946E-3</v>
      </c>
      <c r="BJ7" s="610">
        <f>I7/18</f>
        <v>4.7222222222222221E-2</v>
      </c>
      <c r="BK7" s="610">
        <f>J7/39</f>
        <v>7.6923076923076923E-4</v>
      </c>
      <c r="BL7" s="610">
        <f>K7/(24.3/2)</f>
        <v>1.3991769547325103E-3</v>
      </c>
      <c r="BM7" s="610" t="e">
        <f>L7/(40/2)</f>
        <v>#VALUE!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3.7125000000000004</v>
      </c>
      <c r="BS7" s="564">
        <f>1.29*F7</f>
        <v>4.7730000000000002E-2</v>
      </c>
      <c r="BT7" s="564">
        <f>2.5*H7</f>
        <v>0.52500000000000002</v>
      </c>
      <c r="BU7" s="564">
        <f>1.6*AZ7</f>
        <v>0.4</v>
      </c>
      <c r="BV7" s="564">
        <f>BA7</f>
        <v>0.51</v>
      </c>
      <c r="BW7" s="564" t="e">
        <f>9.19/1000*N7</f>
        <v>#VALUE!</v>
      </c>
      <c r="BX7" s="564">
        <f t="shared" ref="BX7:BX20" si="0">Q7/1000*1.4</f>
        <v>7.1399999999999991E-2</v>
      </c>
      <c r="BY7" s="564" t="e">
        <f>W7/1000*1.38</f>
        <v>#VALUE!</v>
      </c>
      <c r="BZ7" s="564" t="e">
        <f>S7/1000*1.67</f>
        <v>#VALUE!</v>
      </c>
      <c r="CA7" s="564" t="e">
        <f>SUM(BR7:BZ7)</f>
        <v>#VALUE!</v>
      </c>
      <c r="CB7" s="611" t="e">
        <f>CA7/D7</f>
        <v>#VALUE!</v>
      </c>
      <c r="CD7" s="610">
        <f>AZ7/(AZ7+BA7)</f>
        <v>0.32894736842105265</v>
      </c>
      <c r="CE7" s="610">
        <f>BB7/AZ7</f>
        <v>0</v>
      </c>
      <c r="CF7" s="610">
        <f t="shared" ref="CF7:CF12" si="1">IF(AW7-AV7&gt;0,AW7-AV7,0)</f>
        <v>7.9999999999999988E-2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33">
        <v>9.1999999999999993</v>
      </c>
      <c r="E8" s="263" t="s">
        <v>225</v>
      </c>
      <c r="F8" s="264">
        <v>5.7000000000000002E-2</v>
      </c>
      <c r="G8" s="264">
        <v>2</v>
      </c>
      <c r="H8" s="267">
        <v>0.17</v>
      </c>
      <c r="I8" s="264">
        <v>0.65</v>
      </c>
      <c r="J8" s="264">
        <v>0.05</v>
      </c>
      <c r="K8" s="264">
        <v>2.4E-2</v>
      </c>
      <c r="L8" s="266">
        <v>0.1</v>
      </c>
      <c r="M8" s="263">
        <v>260</v>
      </c>
      <c r="N8" s="264">
        <v>31</v>
      </c>
      <c r="O8" s="264" t="s">
        <v>233</v>
      </c>
      <c r="P8" s="264">
        <v>82</v>
      </c>
      <c r="Q8" s="264">
        <v>120</v>
      </c>
      <c r="R8" s="264" t="s">
        <v>293</v>
      </c>
      <c r="S8" s="264" t="s">
        <v>235</v>
      </c>
      <c r="T8" s="264">
        <v>14</v>
      </c>
      <c r="U8" s="264" t="s">
        <v>69</v>
      </c>
      <c r="V8" s="264">
        <v>4.5</v>
      </c>
      <c r="W8" s="264">
        <v>36</v>
      </c>
      <c r="X8" s="264">
        <v>0.04</v>
      </c>
      <c r="Y8" s="264">
        <v>5</v>
      </c>
      <c r="Z8" s="264">
        <v>3.4</v>
      </c>
      <c r="AA8" s="264">
        <v>50</v>
      </c>
      <c r="AB8" s="264">
        <v>0.28999999999999998</v>
      </c>
      <c r="AC8" s="264">
        <v>0.32</v>
      </c>
      <c r="AD8" s="264">
        <v>4.5999999999999999E-2</v>
      </c>
      <c r="AE8" s="264">
        <v>0.52</v>
      </c>
      <c r="AF8" s="264">
        <v>0.67</v>
      </c>
      <c r="AG8" s="264" t="s">
        <v>298</v>
      </c>
      <c r="AH8" s="264">
        <v>2.4</v>
      </c>
      <c r="AI8" s="264">
        <v>5.0999999999999997E-2</v>
      </c>
      <c r="AJ8" s="264" t="s">
        <v>238</v>
      </c>
      <c r="AK8" s="264" t="s">
        <v>462</v>
      </c>
      <c r="AL8" s="265" t="s">
        <v>463</v>
      </c>
      <c r="AM8" s="265">
        <v>5.8000000000000003E-2</v>
      </c>
      <c r="AN8" s="265" t="s">
        <v>475</v>
      </c>
      <c r="AO8" s="265" t="s">
        <v>73</v>
      </c>
      <c r="AP8" s="264">
        <v>2.2999999999999998</v>
      </c>
      <c r="AQ8" s="266">
        <v>0.18</v>
      </c>
      <c r="AR8" s="263" t="s">
        <v>285</v>
      </c>
      <c r="AS8" s="267" t="s">
        <v>466</v>
      </c>
      <c r="AT8" s="267">
        <v>0.6</v>
      </c>
      <c r="AU8" s="267">
        <v>0.41</v>
      </c>
      <c r="AV8" s="267">
        <v>0.41</v>
      </c>
      <c r="AW8" s="264">
        <v>0.66</v>
      </c>
      <c r="AX8" s="265">
        <v>0.8</v>
      </c>
      <c r="AY8" s="265" t="s">
        <v>477</v>
      </c>
      <c r="AZ8" s="265">
        <v>1.4</v>
      </c>
      <c r="BA8" s="265">
        <v>1.1000000000000001</v>
      </c>
      <c r="BB8" s="266"/>
      <c r="BC8" s="619">
        <f t="shared" ref="BC8:BC20" si="3">SUM(AR8:AV8)/AZ8</f>
        <v>1.0142857142857142</v>
      </c>
      <c r="BD8" s="610">
        <f t="shared" ref="BD8:BD20" si="4">(SUM(AW8:AY8)-AV8)/BA8</f>
        <v>0.95454545454545447</v>
      </c>
      <c r="BF8" s="610" t="e">
        <f t="shared" ref="BF8:BF20" si="5">E8/35.5</f>
        <v>#VALUE!</v>
      </c>
      <c r="BG8" s="610">
        <f t="shared" ref="BG8:BG20" si="6">F8/62</f>
        <v>9.1935483870967749E-4</v>
      </c>
      <c r="BH8" s="610">
        <f t="shared" ref="BH8:BH20" si="7">G8/(96/2)</f>
        <v>4.1666666666666664E-2</v>
      </c>
      <c r="BI8" s="610">
        <f t="shared" ref="BI8:BI20" si="8">H8/23</f>
        <v>7.3913043478260878E-3</v>
      </c>
      <c r="BJ8" s="610">
        <f t="shared" ref="BJ8:BJ20" si="9">I8/18</f>
        <v>3.6111111111111115E-2</v>
      </c>
      <c r="BK8" s="610">
        <f t="shared" ref="BK8:BK20" si="10">J8/39</f>
        <v>1.2820512820512821E-3</v>
      </c>
      <c r="BL8" s="610">
        <f t="shared" ref="BL8:BL20" si="11">K8/(24.3/2)</f>
        <v>1.9753086419753087E-3</v>
      </c>
      <c r="BM8" s="610">
        <f t="shared" ref="BM8:BM20" si="12">L8/(40/2)</f>
        <v>5.0000000000000001E-3</v>
      </c>
      <c r="BN8" s="563" t="e">
        <f t="shared" ref="BN8:BN20" si="13">SUM(BF8:BH8)*1000</f>
        <v>#VALUE!</v>
      </c>
      <c r="BO8" s="563">
        <f t="shared" ref="BO8:BO20" si="14">SUM(BI8:BM8)*1000</f>
        <v>51.759775382963795</v>
      </c>
      <c r="BP8" s="611" t="e">
        <f t="shared" ref="BP8:BP20" si="15">BN8/BO8</f>
        <v>#VALUE!</v>
      </c>
      <c r="BR8" s="564">
        <f t="shared" ref="BR8:BR20" si="16">1.375*G8</f>
        <v>2.75</v>
      </c>
      <c r="BS8" s="564">
        <f t="shared" ref="BS8:BS20" si="17">1.29*F8</f>
        <v>7.3529999999999998E-2</v>
      </c>
      <c r="BT8" s="564">
        <f t="shared" ref="BT8:BT20" si="18">2.5*H8</f>
        <v>0.42500000000000004</v>
      </c>
      <c r="BU8" s="564">
        <f t="shared" ref="BU8:BU20" si="19">1.6*AZ8</f>
        <v>2.2399999999999998</v>
      </c>
      <c r="BV8" s="564">
        <f t="shared" ref="BV8:BV20" si="20">BA8</f>
        <v>1.1000000000000001</v>
      </c>
      <c r="BW8" s="564">
        <f t="shared" ref="BW8:BW20" si="21">9.19/1000*N8</f>
        <v>0.28489000000000003</v>
      </c>
      <c r="BX8" s="564">
        <f t="shared" si="0"/>
        <v>0.16799999999999998</v>
      </c>
      <c r="BY8" s="564">
        <f t="shared" ref="BY8:BY20" si="22">W8/1000*1.38</f>
        <v>4.9679999999999995E-2</v>
      </c>
      <c r="BZ8" s="564" t="e">
        <f t="shared" ref="BZ8:BZ20" si="23">S8/1000*1.67</f>
        <v>#VALUE!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0.55999999999999994</v>
      </c>
      <c r="CE8" s="610">
        <f t="shared" ref="CE8:CE20" si="27">BB8/AZ8</f>
        <v>0</v>
      </c>
      <c r="CF8" s="610">
        <f t="shared" si="1"/>
        <v>0.25000000000000006</v>
      </c>
      <c r="CG8" s="610" t="e">
        <f t="shared" si="2"/>
        <v>#VALUE!</v>
      </c>
    </row>
    <row r="9" spans="2:85" ht="20.149999999999999" customHeight="1" x14ac:dyDescent="0.2">
      <c r="B9" s="31" t="s">
        <v>61</v>
      </c>
      <c r="C9" s="37" t="s">
        <v>200</v>
      </c>
      <c r="D9" s="33">
        <v>13.1</v>
      </c>
      <c r="E9" s="263" t="s">
        <v>225</v>
      </c>
      <c r="F9" s="264">
        <v>5.8999999999999997E-2</v>
      </c>
      <c r="G9" s="264">
        <v>3.3</v>
      </c>
      <c r="H9" s="267">
        <v>0.21</v>
      </c>
      <c r="I9" s="264">
        <v>1.1000000000000001</v>
      </c>
      <c r="J9" s="264">
        <v>9.8000000000000004E-2</v>
      </c>
      <c r="K9" s="264">
        <v>2.7E-2</v>
      </c>
      <c r="L9" s="266" t="s">
        <v>459</v>
      </c>
      <c r="M9" s="263">
        <v>300</v>
      </c>
      <c r="N9" s="264">
        <v>19</v>
      </c>
      <c r="O9" s="264">
        <v>26</v>
      </c>
      <c r="P9" s="264">
        <v>150</v>
      </c>
      <c r="Q9" s="264">
        <v>55</v>
      </c>
      <c r="R9" s="264" t="s">
        <v>293</v>
      </c>
      <c r="S9" s="264" t="s">
        <v>235</v>
      </c>
      <c r="T9" s="264">
        <v>14</v>
      </c>
      <c r="U9" s="264" t="s">
        <v>69</v>
      </c>
      <c r="V9" s="264">
        <v>2.7</v>
      </c>
      <c r="W9" s="264">
        <v>32</v>
      </c>
      <c r="X9" s="264">
        <v>3.5000000000000003E-2</v>
      </c>
      <c r="Y9" s="264">
        <v>4.3</v>
      </c>
      <c r="Z9" s="264">
        <v>3.4</v>
      </c>
      <c r="AA9" s="264">
        <v>23</v>
      </c>
      <c r="AB9" s="264">
        <v>0.31</v>
      </c>
      <c r="AC9" s="264">
        <v>0.49</v>
      </c>
      <c r="AD9" s="264" t="s">
        <v>77</v>
      </c>
      <c r="AE9" s="264">
        <v>0.39</v>
      </c>
      <c r="AF9" s="264">
        <v>0.99</v>
      </c>
      <c r="AG9" s="264" t="s">
        <v>298</v>
      </c>
      <c r="AH9" s="264">
        <v>5.9</v>
      </c>
      <c r="AI9" s="264">
        <v>4.9000000000000002E-2</v>
      </c>
      <c r="AJ9" s="264" t="s">
        <v>238</v>
      </c>
      <c r="AK9" s="264" t="s">
        <v>462</v>
      </c>
      <c r="AL9" s="265" t="s">
        <v>463</v>
      </c>
      <c r="AM9" s="265">
        <v>4.8000000000000001E-2</v>
      </c>
      <c r="AN9" s="265" t="s">
        <v>475</v>
      </c>
      <c r="AO9" s="265" t="s">
        <v>73</v>
      </c>
      <c r="AP9" s="264">
        <v>2.1</v>
      </c>
      <c r="AQ9" s="266">
        <v>0.12</v>
      </c>
      <c r="AR9" s="263" t="s">
        <v>285</v>
      </c>
      <c r="AS9" s="267">
        <v>0.37</v>
      </c>
      <c r="AT9" s="267">
        <v>0.56999999999999995</v>
      </c>
      <c r="AU9" s="267">
        <v>0.47</v>
      </c>
      <c r="AV9" s="267">
        <v>0.59</v>
      </c>
      <c r="AW9" s="264">
        <v>0.88</v>
      </c>
      <c r="AX9" s="265">
        <v>1</v>
      </c>
      <c r="AY9" s="265" t="s">
        <v>477</v>
      </c>
      <c r="AZ9" s="265">
        <v>2</v>
      </c>
      <c r="BA9" s="265">
        <v>1.3</v>
      </c>
      <c r="BB9" s="266"/>
      <c r="BC9" s="619">
        <f t="shared" si="3"/>
        <v>1</v>
      </c>
      <c r="BD9" s="610">
        <f t="shared" si="4"/>
        <v>0.99230769230769234</v>
      </c>
      <c r="BF9" s="610" t="e">
        <f t="shared" si="5"/>
        <v>#VALUE!</v>
      </c>
      <c r="BG9" s="610">
        <f t="shared" si="6"/>
        <v>9.5161290322580644E-4</v>
      </c>
      <c r="BH9" s="610">
        <f t="shared" si="7"/>
        <v>6.8749999999999992E-2</v>
      </c>
      <c r="BI9" s="610">
        <f t="shared" si="8"/>
        <v>9.1304347826086946E-3</v>
      </c>
      <c r="BJ9" s="610">
        <f t="shared" si="9"/>
        <v>6.1111111111111116E-2</v>
      </c>
      <c r="BK9" s="610">
        <f t="shared" si="10"/>
        <v>2.5128205128205129E-3</v>
      </c>
      <c r="BL9" s="610">
        <f t="shared" si="11"/>
        <v>2.2222222222222222E-3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4.5374999999999996</v>
      </c>
      <c r="BS9" s="564">
        <f t="shared" si="17"/>
        <v>7.6109999999999997E-2</v>
      </c>
      <c r="BT9" s="564">
        <f t="shared" si="18"/>
        <v>0.52500000000000002</v>
      </c>
      <c r="BU9" s="564">
        <f t="shared" si="19"/>
        <v>3.2</v>
      </c>
      <c r="BV9" s="564">
        <f t="shared" si="20"/>
        <v>1.3</v>
      </c>
      <c r="BW9" s="564">
        <f t="shared" si="21"/>
        <v>0.17461000000000002</v>
      </c>
      <c r="BX9" s="564">
        <f t="shared" si="0"/>
        <v>7.6999999999999999E-2</v>
      </c>
      <c r="BY9" s="564">
        <f t="shared" si="22"/>
        <v>4.4159999999999998E-2</v>
      </c>
      <c r="BZ9" s="564" t="e">
        <f t="shared" si="23"/>
        <v>#VALUE!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0.60606060606060608</v>
      </c>
      <c r="CE9" s="610">
        <f t="shared" si="27"/>
        <v>0</v>
      </c>
      <c r="CF9" s="610">
        <f t="shared" si="1"/>
        <v>0.29000000000000004</v>
      </c>
      <c r="CG9" s="610" t="e">
        <f t="shared" si="2"/>
        <v>#VALUE!</v>
      </c>
    </row>
    <row r="10" spans="2:85" ht="20.149999999999999" customHeight="1" x14ac:dyDescent="0.2">
      <c r="B10" s="31" t="s">
        <v>61</v>
      </c>
      <c r="C10" s="32" t="s">
        <v>82</v>
      </c>
      <c r="D10" s="33">
        <v>9.6</v>
      </c>
      <c r="E10" s="263" t="s">
        <v>225</v>
      </c>
      <c r="F10" s="264">
        <v>4.4999999999999998E-2</v>
      </c>
      <c r="G10" s="264">
        <v>2.4</v>
      </c>
      <c r="H10" s="267">
        <v>0.37</v>
      </c>
      <c r="I10" s="264">
        <v>0.68</v>
      </c>
      <c r="J10" s="264">
        <v>5.7000000000000002E-2</v>
      </c>
      <c r="K10" s="264">
        <v>3.5000000000000003E-2</v>
      </c>
      <c r="L10" s="266" t="s">
        <v>459</v>
      </c>
      <c r="M10" s="263">
        <v>490</v>
      </c>
      <c r="N10" s="264">
        <v>14</v>
      </c>
      <c r="O10" s="264">
        <v>18</v>
      </c>
      <c r="P10" s="264">
        <v>73</v>
      </c>
      <c r="Q10" s="264" t="s">
        <v>468</v>
      </c>
      <c r="R10" s="264" t="s">
        <v>293</v>
      </c>
      <c r="S10" s="264" t="s">
        <v>235</v>
      </c>
      <c r="T10" s="264">
        <v>13</v>
      </c>
      <c r="U10" s="264" t="s">
        <v>69</v>
      </c>
      <c r="V10" s="264">
        <v>1.2</v>
      </c>
      <c r="W10" s="264">
        <v>15</v>
      </c>
      <c r="X10" s="264">
        <v>2.3E-2</v>
      </c>
      <c r="Y10" s="264">
        <v>4.3</v>
      </c>
      <c r="Z10" s="264">
        <v>2.2000000000000002</v>
      </c>
      <c r="AA10" s="264" t="s">
        <v>195</v>
      </c>
      <c r="AB10" s="264">
        <v>0.3</v>
      </c>
      <c r="AC10" s="264">
        <v>0.45</v>
      </c>
      <c r="AD10" s="264" t="s">
        <v>77</v>
      </c>
      <c r="AE10" s="264">
        <v>0.56000000000000005</v>
      </c>
      <c r="AF10" s="264">
        <v>0.43</v>
      </c>
      <c r="AG10" s="264" t="s">
        <v>298</v>
      </c>
      <c r="AH10" s="264">
        <v>3</v>
      </c>
      <c r="AI10" s="264">
        <v>3.1E-2</v>
      </c>
      <c r="AJ10" s="264" t="s">
        <v>238</v>
      </c>
      <c r="AK10" s="264" t="s">
        <v>462</v>
      </c>
      <c r="AL10" s="265">
        <v>1.9E-3</v>
      </c>
      <c r="AM10" s="265">
        <v>0.14000000000000001</v>
      </c>
      <c r="AN10" s="265" t="s">
        <v>475</v>
      </c>
      <c r="AO10" s="265" t="s">
        <v>73</v>
      </c>
      <c r="AP10" s="264">
        <v>0.8</v>
      </c>
      <c r="AQ10" s="266">
        <v>0.03</v>
      </c>
      <c r="AR10" s="263" t="s">
        <v>285</v>
      </c>
      <c r="AS10" s="267" t="s">
        <v>466</v>
      </c>
      <c r="AT10" s="267">
        <v>0.44</v>
      </c>
      <c r="AU10" s="267">
        <v>0.36</v>
      </c>
      <c r="AV10" s="267">
        <v>0.5</v>
      </c>
      <c r="AW10" s="264">
        <v>0.5</v>
      </c>
      <c r="AX10" s="265">
        <v>0.51</v>
      </c>
      <c r="AY10" s="265" t="s">
        <v>477</v>
      </c>
      <c r="AZ10" s="265">
        <v>1.3</v>
      </c>
      <c r="BA10" s="265">
        <v>0.51</v>
      </c>
      <c r="BB10" s="266"/>
      <c r="BC10" s="619">
        <f t="shared" si="3"/>
        <v>1</v>
      </c>
      <c r="BD10" s="610">
        <f t="shared" si="4"/>
        <v>1</v>
      </c>
      <c r="BF10" s="610" t="e">
        <f t="shared" si="5"/>
        <v>#VALUE!</v>
      </c>
      <c r="BG10" s="610">
        <f t="shared" si="6"/>
        <v>7.2580645161290317E-4</v>
      </c>
      <c r="BH10" s="610">
        <f t="shared" si="7"/>
        <v>4.9999999999999996E-2</v>
      </c>
      <c r="BI10" s="610">
        <f t="shared" si="8"/>
        <v>1.6086956521739131E-2</v>
      </c>
      <c r="BJ10" s="610">
        <f t="shared" si="9"/>
        <v>3.7777777777777778E-2</v>
      </c>
      <c r="BK10" s="610">
        <f t="shared" si="10"/>
        <v>1.4615384615384616E-3</v>
      </c>
      <c r="BL10" s="610">
        <f t="shared" si="11"/>
        <v>2.8806584362139919E-3</v>
      </c>
      <c r="BM10" s="610" t="e">
        <f t="shared" si="12"/>
        <v>#VALUE!</v>
      </c>
      <c r="BN10" s="563" t="e">
        <f t="shared" si="13"/>
        <v>#VALUE!</v>
      </c>
      <c r="BO10" s="563" t="e">
        <f t="shared" si="14"/>
        <v>#VALUE!</v>
      </c>
      <c r="BP10" s="611" t="e">
        <f t="shared" si="15"/>
        <v>#VALUE!</v>
      </c>
      <c r="BR10" s="564">
        <f t="shared" si="16"/>
        <v>3.3</v>
      </c>
      <c r="BS10" s="564">
        <f t="shared" si="17"/>
        <v>5.8049999999999997E-2</v>
      </c>
      <c r="BT10" s="564">
        <f t="shared" si="18"/>
        <v>0.92500000000000004</v>
      </c>
      <c r="BU10" s="564">
        <f t="shared" si="19"/>
        <v>2.08</v>
      </c>
      <c r="BV10" s="564">
        <f t="shared" si="20"/>
        <v>0.51</v>
      </c>
      <c r="BW10" s="564">
        <f t="shared" si="21"/>
        <v>0.12866</v>
      </c>
      <c r="BX10" s="564" t="e">
        <f t="shared" si="0"/>
        <v>#VALUE!</v>
      </c>
      <c r="BY10" s="564">
        <f t="shared" si="22"/>
        <v>2.0699999999999996E-2</v>
      </c>
      <c r="BZ10" s="564" t="e">
        <f t="shared" si="23"/>
        <v>#VALUE!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0.71823204419889508</v>
      </c>
      <c r="CE10" s="610">
        <f t="shared" si="27"/>
        <v>0</v>
      </c>
      <c r="CF10" s="610">
        <f t="shared" si="1"/>
        <v>0</v>
      </c>
      <c r="CG10" s="610" t="e">
        <f t="shared" si="2"/>
        <v>#VALUE!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13.2</v>
      </c>
      <c r="E11" s="273" t="s">
        <v>225</v>
      </c>
      <c r="F11" s="274">
        <v>7.0000000000000007E-2</v>
      </c>
      <c r="G11" s="274">
        <v>3.2</v>
      </c>
      <c r="H11" s="279">
        <v>0.41</v>
      </c>
      <c r="I11" s="274">
        <v>0.83</v>
      </c>
      <c r="J11" s="274">
        <v>0.16</v>
      </c>
      <c r="K11" s="274">
        <v>5.7000000000000002E-2</v>
      </c>
      <c r="L11" s="278" t="s">
        <v>459</v>
      </c>
      <c r="M11" s="273">
        <v>560</v>
      </c>
      <c r="N11" s="274">
        <v>34</v>
      </c>
      <c r="O11" s="274" t="s">
        <v>233</v>
      </c>
      <c r="P11" s="274">
        <v>240</v>
      </c>
      <c r="Q11" s="274">
        <v>120</v>
      </c>
      <c r="R11" s="274" t="s">
        <v>293</v>
      </c>
      <c r="S11" s="274" t="s">
        <v>235</v>
      </c>
      <c r="T11" s="274">
        <v>16</v>
      </c>
      <c r="U11" s="274">
        <v>7.9</v>
      </c>
      <c r="V11" s="274">
        <v>1.3</v>
      </c>
      <c r="W11" s="274">
        <v>19</v>
      </c>
      <c r="X11" s="274">
        <v>3.5999999999999997E-2</v>
      </c>
      <c r="Y11" s="274">
        <v>9.9</v>
      </c>
      <c r="Z11" s="274">
        <v>6.8</v>
      </c>
      <c r="AA11" s="274">
        <v>27</v>
      </c>
      <c r="AB11" s="274">
        <v>0.39</v>
      </c>
      <c r="AC11" s="274">
        <v>0.32</v>
      </c>
      <c r="AD11" s="274" t="s">
        <v>77</v>
      </c>
      <c r="AE11" s="274">
        <v>1.2</v>
      </c>
      <c r="AF11" s="274">
        <v>0.76</v>
      </c>
      <c r="AG11" s="274" t="s">
        <v>298</v>
      </c>
      <c r="AH11" s="274">
        <v>11</v>
      </c>
      <c r="AI11" s="274">
        <v>5.8000000000000003E-2</v>
      </c>
      <c r="AJ11" s="274" t="s">
        <v>238</v>
      </c>
      <c r="AK11" s="274" t="s">
        <v>462</v>
      </c>
      <c r="AL11" s="277" t="s">
        <v>463</v>
      </c>
      <c r="AM11" s="277">
        <v>0.11</v>
      </c>
      <c r="AN11" s="277" t="s">
        <v>475</v>
      </c>
      <c r="AO11" s="277" t="s">
        <v>73</v>
      </c>
      <c r="AP11" s="274">
        <v>2.2999999999999998</v>
      </c>
      <c r="AQ11" s="278">
        <v>8.8999999999999996E-2</v>
      </c>
      <c r="AR11" s="273" t="s">
        <v>285</v>
      </c>
      <c r="AS11" s="279">
        <v>0.39</v>
      </c>
      <c r="AT11" s="279">
        <v>0.79</v>
      </c>
      <c r="AU11" s="279">
        <v>0.56999999999999995</v>
      </c>
      <c r="AV11" s="279">
        <v>0.7</v>
      </c>
      <c r="AW11" s="274">
        <v>0.83</v>
      </c>
      <c r="AX11" s="277">
        <v>0.59</v>
      </c>
      <c r="AY11" s="277" t="s">
        <v>477</v>
      </c>
      <c r="AZ11" s="277">
        <v>2.5</v>
      </c>
      <c r="BA11" s="277">
        <v>0.72</v>
      </c>
      <c r="BB11" s="278"/>
      <c r="BC11" s="620">
        <f t="shared" si="3"/>
        <v>0.98000000000000009</v>
      </c>
      <c r="BD11" s="617">
        <f t="shared" si="4"/>
        <v>1</v>
      </c>
      <c r="BE11" s="616"/>
      <c r="BF11" s="617" t="e">
        <f t="shared" si="5"/>
        <v>#VALUE!</v>
      </c>
      <c r="BG11" s="617">
        <f t="shared" si="6"/>
        <v>1.1290322580645162E-3</v>
      </c>
      <c r="BH11" s="617">
        <f t="shared" si="7"/>
        <v>6.6666666666666666E-2</v>
      </c>
      <c r="BI11" s="617">
        <f t="shared" si="8"/>
        <v>1.7826086956521738E-2</v>
      </c>
      <c r="BJ11" s="617">
        <f t="shared" si="9"/>
        <v>4.611111111111111E-2</v>
      </c>
      <c r="BK11" s="617">
        <f t="shared" si="10"/>
        <v>4.1025641025641026E-3</v>
      </c>
      <c r="BL11" s="617">
        <f t="shared" si="11"/>
        <v>4.691358024691358E-3</v>
      </c>
      <c r="BM11" s="617" t="e">
        <f t="shared" si="12"/>
        <v>#VALUE!</v>
      </c>
      <c r="BN11" s="621" t="e">
        <f t="shared" si="13"/>
        <v>#VALUE!</v>
      </c>
      <c r="BO11" s="621" t="e">
        <f t="shared" si="14"/>
        <v>#VALUE!</v>
      </c>
      <c r="BP11" s="618" t="e">
        <f t="shared" si="15"/>
        <v>#VALUE!</v>
      </c>
      <c r="BQ11" s="616"/>
      <c r="BR11" s="615">
        <f t="shared" si="16"/>
        <v>4.4000000000000004</v>
      </c>
      <c r="BS11" s="615">
        <f t="shared" si="17"/>
        <v>9.0300000000000005E-2</v>
      </c>
      <c r="BT11" s="615">
        <f t="shared" si="18"/>
        <v>1.0249999999999999</v>
      </c>
      <c r="BU11" s="615">
        <f t="shared" si="19"/>
        <v>4</v>
      </c>
      <c r="BV11" s="615">
        <f t="shared" si="20"/>
        <v>0.72</v>
      </c>
      <c r="BW11" s="615">
        <f t="shared" si="21"/>
        <v>0.31246000000000002</v>
      </c>
      <c r="BX11" s="615">
        <f t="shared" si="0"/>
        <v>0.16799999999999998</v>
      </c>
      <c r="BY11" s="615">
        <f t="shared" si="22"/>
        <v>2.6219999999999997E-2</v>
      </c>
      <c r="BZ11" s="615" t="e">
        <f t="shared" si="23"/>
        <v>#VALUE!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0.77639751552795033</v>
      </c>
      <c r="CE11" s="617">
        <f t="shared" si="27"/>
        <v>0</v>
      </c>
      <c r="CF11" s="617">
        <f t="shared" si="1"/>
        <v>0.13</v>
      </c>
      <c r="CG11" s="617" t="e">
        <f t="shared" si="2"/>
        <v>#VALUE!</v>
      </c>
    </row>
    <row r="12" spans="2:85" ht="20.149999999999999" customHeight="1" x14ac:dyDescent="0.2">
      <c r="B12" s="31" t="s">
        <v>202</v>
      </c>
      <c r="C12" s="46" t="s">
        <v>203</v>
      </c>
      <c r="D12" s="47">
        <v>11.2</v>
      </c>
      <c r="E12" s="643">
        <f>0.5*0.0082</f>
        <v>4.1000000000000003E-3</v>
      </c>
      <c r="F12" s="283">
        <v>5.5E-2</v>
      </c>
      <c r="G12" s="283">
        <v>4.4000000000000004</v>
      </c>
      <c r="H12" s="287">
        <v>0.6</v>
      </c>
      <c r="I12" s="283">
        <v>1.1000000000000001</v>
      </c>
      <c r="J12" s="283">
        <v>5.0999999999999997E-2</v>
      </c>
      <c r="K12" s="283">
        <v>6.9000000000000006E-2</v>
      </c>
      <c r="L12" s="286">
        <v>0.12</v>
      </c>
      <c r="M12" s="282">
        <v>770</v>
      </c>
      <c r="N12" s="283">
        <v>31</v>
      </c>
      <c r="O12" s="283">
        <v>21</v>
      </c>
      <c r="P12" s="283">
        <v>53</v>
      </c>
      <c r="Q12" s="637">
        <f>0.5*33</f>
        <v>16.5</v>
      </c>
      <c r="R12" s="637">
        <f t="shared" ref="R12:R18" si="28">0.5*0.025</f>
        <v>1.2500000000000001E-2</v>
      </c>
      <c r="S12" s="283">
        <v>1.9</v>
      </c>
      <c r="T12" s="283">
        <v>13</v>
      </c>
      <c r="U12" s="283">
        <v>12</v>
      </c>
      <c r="V12" s="283">
        <v>1.3</v>
      </c>
      <c r="W12" s="283">
        <v>33</v>
      </c>
      <c r="X12" s="283">
        <v>3.1E-2</v>
      </c>
      <c r="Y12" s="283">
        <v>10</v>
      </c>
      <c r="Z12" s="283">
        <v>2</v>
      </c>
      <c r="AA12" s="637">
        <f>0.5*5.7</f>
        <v>2.85</v>
      </c>
      <c r="AB12" s="283">
        <v>0.2</v>
      </c>
      <c r="AC12" s="283">
        <v>0.25</v>
      </c>
      <c r="AD12" s="637">
        <f>0.5*0.028</f>
        <v>1.4E-2</v>
      </c>
      <c r="AE12" s="283">
        <v>1.2</v>
      </c>
      <c r="AF12" s="283">
        <v>0.31</v>
      </c>
      <c r="AG12" s="637">
        <f t="shared" ref="AG12:AG18" si="29">0.5*0.012</f>
        <v>6.0000000000000001E-3</v>
      </c>
      <c r="AH12" s="283">
        <v>1.8</v>
      </c>
      <c r="AI12" s="283">
        <v>2.1999999999999999E-2</v>
      </c>
      <c r="AJ12" s="637">
        <f>0.5*0.092</f>
        <v>4.5999999999999999E-2</v>
      </c>
      <c r="AK12" s="637">
        <f t="shared" ref="AK12:AK18" si="30">0.5*0.0057</f>
        <v>2.8500000000000001E-3</v>
      </c>
      <c r="AL12" s="638">
        <f>0.5*0.0018</f>
        <v>8.9999999999999998E-4</v>
      </c>
      <c r="AM12" s="285">
        <v>4.4999999999999998E-2</v>
      </c>
      <c r="AN12" s="638">
        <f t="shared" ref="AN12:AN18" si="31">0.5*0.0011</f>
        <v>5.5000000000000003E-4</v>
      </c>
      <c r="AO12" s="638">
        <f t="shared" ref="AO12:AO18" si="32">0.5*0.018</f>
        <v>8.9999999999999993E-3</v>
      </c>
      <c r="AP12" s="283">
        <v>0.98</v>
      </c>
      <c r="AQ12" s="286">
        <v>0.66</v>
      </c>
      <c r="AR12" s="643">
        <f t="shared" ref="AR12:AR18" si="33">0.5*0.016</f>
        <v>8.0000000000000002E-3</v>
      </c>
      <c r="AS12" s="670">
        <f>0.5*0.32</f>
        <v>0.16</v>
      </c>
      <c r="AT12" s="670">
        <f>0.5*0.31</f>
        <v>0.155</v>
      </c>
      <c r="AU12" s="287">
        <v>0.2</v>
      </c>
      <c r="AV12" s="287">
        <v>0.32</v>
      </c>
      <c r="AW12" s="283">
        <v>0.43</v>
      </c>
      <c r="AX12" s="285">
        <v>0.85</v>
      </c>
      <c r="AY12" s="638">
        <f t="shared" ref="AY12:AY18" si="34">0.5*0.048</f>
        <v>2.4E-2</v>
      </c>
      <c r="AZ12" s="285">
        <v>0.52</v>
      </c>
      <c r="BA12" s="285">
        <v>0.96</v>
      </c>
      <c r="BB12" s="286"/>
      <c r="BC12" s="619">
        <f t="shared" si="3"/>
        <v>1.6211538461538459</v>
      </c>
      <c r="BD12" s="610">
        <f t="shared" si="4"/>
        <v>1.0250000000000001</v>
      </c>
      <c r="BF12" s="610">
        <f t="shared" si="5"/>
        <v>1.1549295774647888E-4</v>
      </c>
      <c r="BG12" s="610">
        <f t="shared" si="6"/>
        <v>8.8709677419354844E-4</v>
      </c>
      <c r="BH12" s="610">
        <f t="shared" si="7"/>
        <v>9.1666666666666674E-2</v>
      </c>
      <c r="BI12" s="610">
        <f t="shared" si="8"/>
        <v>2.6086956521739129E-2</v>
      </c>
      <c r="BJ12" s="610">
        <f t="shared" si="9"/>
        <v>6.1111111111111116E-2</v>
      </c>
      <c r="BK12" s="610">
        <f t="shared" si="10"/>
        <v>1.3076923076923077E-3</v>
      </c>
      <c r="BL12" s="610">
        <f t="shared" si="11"/>
        <v>5.679012345679013E-3</v>
      </c>
      <c r="BM12" s="610">
        <f t="shared" si="12"/>
        <v>6.0000000000000001E-3</v>
      </c>
      <c r="BN12" s="563">
        <f t="shared" si="13"/>
        <v>92.669256398606692</v>
      </c>
      <c r="BO12" s="563">
        <f t="shared" si="14"/>
        <v>100.18477228622156</v>
      </c>
      <c r="BP12" s="611">
        <f t="shared" si="15"/>
        <v>0.92498345091663714</v>
      </c>
      <c r="BR12" s="564">
        <f t="shared" si="16"/>
        <v>6.0500000000000007</v>
      </c>
      <c r="BS12" s="564">
        <f t="shared" si="17"/>
        <v>7.0949999999999999E-2</v>
      </c>
      <c r="BT12" s="564">
        <f t="shared" si="18"/>
        <v>1.5</v>
      </c>
      <c r="BU12" s="564">
        <f t="shared" si="19"/>
        <v>0.83200000000000007</v>
      </c>
      <c r="BV12" s="564">
        <f t="shared" si="20"/>
        <v>0.96</v>
      </c>
      <c r="BW12" s="564">
        <f t="shared" si="21"/>
        <v>0.28489000000000003</v>
      </c>
      <c r="BX12" s="564">
        <f t="shared" si="0"/>
        <v>2.3099999999999999E-2</v>
      </c>
      <c r="BY12" s="564">
        <f t="shared" si="22"/>
        <v>4.5539999999999997E-2</v>
      </c>
      <c r="BZ12" s="564">
        <f t="shared" si="23"/>
        <v>3.173E-3</v>
      </c>
      <c r="CA12" s="564">
        <f t="shared" si="24"/>
        <v>9.7696530000000035</v>
      </c>
      <c r="CB12" s="611">
        <f t="shared" si="25"/>
        <v>0.87229044642857179</v>
      </c>
      <c r="CC12" s="610"/>
      <c r="CD12" s="610">
        <f t="shared" si="26"/>
        <v>0.35135135135135137</v>
      </c>
      <c r="CE12" s="610">
        <f t="shared" si="27"/>
        <v>0</v>
      </c>
      <c r="CF12" s="610">
        <f t="shared" si="1"/>
        <v>0.10999999999999999</v>
      </c>
      <c r="CG12" s="610">
        <f t="shared" si="2"/>
        <v>0.874</v>
      </c>
    </row>
    <row r="13" spans="2:85" ht="20.149999999999999" customHeight="1" x14ac:dyDescent="0.2">
      <c r="B13" s="31" t="s">
        <v>202</v>
      </c>
      <c r="C13" s="40" t="s">
        <v>204</v>
      </c>
      <c r="D13" s="33">
        <v>26.3</v>
      </c>
      <c r="E13" s="644">
        <f>0.5*0.0082</f>
        <v>4.1000000000000003E-3</v>
      </c>
      <c r="F13" s="264">
        <v>6.9000000000000006E-2</v>
      </c>
      <c r="G13" s="264">
        <v>7.4</v>
      </c>
      <c r="H13" s="267">
        <v>0.23</v>
      </c>
      <c r="I13" s="264">
        <v>2.6</v>
      </c>
      <c r="J13" s="264">
        <v>6.7000000000000004E-2</v>
      </c>
      <c r="K13" s="264">
        <v>3.7999999999999999E-2</v>
      </c>
      <c r="L13" s="266">
        <v>0.13</v>
      </c>
      <c r="M13" s="263">
        <v>350</v>
      </c>
      <c r="N13" s="264">
        <v>31</v>
      </c>
      <c r="O13" s="264">
        <v>56</v>
      </c>
      <c r="P13" s="264">
        <v>120</v>
      </c>
      <c r="Q13" s="264">
        <v>200</v>
      </c>
      <c r="R13" s="635">
        <f t="shared" si="28"/>
        <v>1.2500000000000001E-2</v>
      </c>
      <c r="S13" s="264">
        <v>5.2</v>
      </c>
      <c r="T13" s="264">
        <v>24</v>
      </c>
      <c r="U13" s="635">
        <f t="shared" ref="U13:U18" si="35">0.5*1.4</f>
        <v>0.7</v>
      </c>
      <c r="V13" s="264">
        <v>5.2</v>
      </c>
      <c r="W13" s="264">
        <v>110</v>
      </c>
      <c r="X13" s="264">
        <v>6.4000000000000001E-2</v>
      </c>
      <c r="Y13" s="264">
        <v>7.5</v>
      </c>
      <c r="Z13" s="264">
        <v>3.8</v>
      </c>
      <c r="AA13" s="264">
        <v>64</v>
      </c>
      <c r="AB13" s="264">
        <v>0.57999999999999996</v>
      </c>
      <c r="AC13" s="264">
        <v>1.1000000000000001</v>
      </c>
      <c r="AD13" s="264">
        <v>9.4E-2</v>
      </c>
      <c r="AE13" s="264">
        <v>0.51</v>
      </c>
      <c r="AF13" s="264">
        <v>1.5</v>
      </c>
      <c r="AG13" s="635">
        <f t="shared" si="29"/>
        <v>6.0000000000000001E-3</v>
      </c>
      <c r="AH13" s="264">
        <v>4.8</v>
      </c>
      <c r="AI13" s="264">
        <v>0.14000000000000001</v>
      </c>
      <c r="AJ13" s="264">
        <v>0.19</v>
      </c>
      <c r="AK13" s="635">
        <f t="shared" si="30"/>
        <v>2.8500000000000001E-3</v>
      </c>
      <c r="AL13" s="265">
        <v>4.4000000000000003E-3</v>
      </c>
      <c r="AM13" s="265">
        <v>8.6999999999999994E-2</v>
      </c>
      <c r="AN13" s="639">
        <f t="shared" si="31"/>
        <v>5.5000000000000003E-4</v>
      </c>
      <c r="AO13" s="639">
        <f t="shared" si="32"/>
        <v>8.9999999999999993E-3</v>
      </c>
      <c r="AP13" s="264">
        <v>3.9</v>
      </c>
      <c r="AQ13" s="266">
        <v>0.14000000000000001</v>
      </c>
      <c r="AR13" s="644">
        <f t="shared" si="33"/>
        <v>8.0000000000000002E-3</v>
      </c>
      <c r="AS13" s="267">
        <v>1.1000000000000001</v>
      </c>
      <c r="AT13" s="267">
        <v>1</v>
      </c>
      <c r="AU13" s="267">
        <v>0.75</v>
      </c>
      <c r="AV13" s="267">
        <v>1.2</v>
      </c>
      <c r="AW13" s="264">
        <v>1.4</v>
      </c>
      <c r="AX13" s="265">
        <v>1.7</v>
      </c>
      <c r="AY13" s="639">
        <f t="shared" si="34"/>
        <v>2.4E-2</v>
      </c>
      <c r="AZ13" s="265">
        <v>4.0999999999999996</v>
      </c>
      <c r="BA13" s="265">
        <v>1.9</v>
      </c>
      <c r="BB13" s="266"/>
      <c r="BC13" s="619">
        <f t="shared" si="3"/>
        <v>0.9897560975609756</v>
      </c>
      <c r="BD13" s="610">
        <f t="shared" si="4"/>
        <v>1.0126315789473683</v>
      </c>
      <c r="BF13" s="610">
        <f t="shared" si="5"/>
        <v>1.1549295774647888E-4</v>
      </c>
      <c r="BG13" s="610">
        <f t="shared" si="6"/>
        <v>1.1129032258064516E-3</v>
      </c>
      <c r="BH13" s="610">
        <f t="shared" si="7"/>
        <v>0.15416666666666667</v>
      </c>
      <c r="BI13" s="610">
        <f t="shared" si="8"/>
        <v>0.01</v>
      </c>
      <c r="BJ13" s="610">
        <f t="shared" si="9"/>
        <v>0.14444444444444446</v>
      </c>
      <c r="BK13" s="610">
        <f t="shared" si="10"/>
        <v>1.717948717948718E-3</v>
      </c>
      <c r="BL13" s="610">
        <f t="shared" si="11"/>
        <v>3.127572016460905E-3</v>
      </c>
      <c r="BM13" s="610">
        <f t="shared" si="12"/>
        <v>6.5000000000000006E-3</v>
      </c>
      <c r="BN13" s="563">
        <f t="shared" si="13"/>
        <v>155.39506285021963</v>
      </c>
      <c r="BO13" s="563">
        <f t="shared" si="14"/>
        <v>165.78996517885412</v>
      </c>
      <c r="BP13" s="611">
        <f t="shared" si="15"/>
        <v>0.93730077500516706</v>
      </c>
      <c r="BR13" s="564">
        <f t="shared" si="16"/>
        <v>10.175000000000001</v>
      </c>
      <c r="BS13" s="564">
        <f t="shared" si="17"/>
        <v>8.9010000000000006E-2</v>
      </c>
      <c r="BT13" s="564">
        <f t="shared" si="18"/>
        <v>0.57500000000000007</v>
      </c>
      <c r="BU13" s="564">
        <f t="shared" si="19"/>
        <v>6.56</v>
      </c>
      <c r="BV13" s="564">
        <f t="shared" si="20"/>
        <v>1.9</v>
      </c>
      <c r="BW13" s="564">
        <f t="shared" si="21"/>
        <v>0.28489000000000003</v>
      </c>
      <c r="BX13" s="564">
        <f t="shared" si="0"/>
        <v>0.27999999999999997</v>
      </c>
      <c r="BY13" s="564">
        <f t="shared" si="22"/>
        <v>0.15179999999999999</v>
      </c>
      <c r="BZ13" s="564">
        <f t="shared" si="23"/>
        <v>8.683999999999999E-3</v>
      </c>
      <c r="CA13" s="564">
        <f t="shared" si="24"/>
        <v>20.024384000000001</v>
      </c>
      <c r="CB13" s="611">
        <f t="shared" si="25"/>
        <v>0.76138342205323195</v>
      </c>
      <c r="CC13" s="610"/>
      <c r="CD13" s="610">
        <f t="shared" si="26"/>
        <v>0.68333333333333324</v>
      </c>
      <c r="CE13" s="610">
        <f t="shared" si="27"/>
        <v>0</v>
      </c>
      <c r="CF13" s="610">
        <f t="shared" ref="CF13:CF20" si="36">IF(AW13-AV13&gt;0,AW13-AV13,0)</f>
        <v>0.19999999999999996</v>
      </c>
      <c r="CG13" s="610">
        <f t="shared" ref="CG13:CG20" si="37">IF(AW13-AV13&gt;0,AX13+AY13,AW13+AX13+AY13-AV13)</f>
        <v>1.724</v>
      </c>
    </row>
    <row r="14" spans="2:85" ht="20.149999999999999" customHeight="1" x14ac:dyDescent="0.2">
      <c r="B14" s="31" t="s">
        <v>202</v>
      </c>
      <c r="C14" s="32" t="s">
        <v>205</v>
      </c>
      <c r="D14" s="33">
        <v>31.3</v>
      </c>
      <c r="E14" s="644">
        <f>0.5*0.0082</f>
        <v>4.1000000000000003E-3</v>
      </c>
      <c r="F14" s="264">
        <v>2.9000000000000001E-2</v>
      </c>
      <c r="G14" s="264">
        <v>13</v>
      </c>
      <c r="H14" s="267">
        <v>0.18</v>
      </c>
      <c r="I14" s="264">
        <v>5</v>
      </c>
      <c r="J14" s="264">
        <v>5.0999999999999997E-2</v>
      </c>
      <c r="K14" s="264">
        <v>3.1E-2</v>
      </c>
      <c r="L14" s="266">
        <v>8.5999999999999993E-2</v>
      </c>
      <c r="M14" s="263">
        <v>280</v>
      </c>
      <c r="N14" s="264">
        <v>47</v>
      </c>
      <c r="O14" s="264">
        <v>65</v>
      </c>
      <c r="P14" s="264">
        <v>100</v>
      </c>
      <c r="Q14" s="264">
        <v>56</v>
      </c>
      <c r="R14" s="635">
        <f t="shared" si="28"/>
        <v>1.2500000000000001E-2</v>
      </c>
      <c r="S14" s="264">
        <v>2.1</v>
      </c>
      <c r="T14" s="264">
        <v>48</v>
      </c>
      <c r="U14" s="635">
        <f t="shared" si="35"/>
        <v>0.7</v>
      </c>
      <c r="V14" s="264">
        <v>3.6</v>
      </c>
      <c r="W14" s="264">
        <v>85</v>
      </c>
      <c r="X14" s="264">
        <v>0.11</v>
      </c>
      <c r="Y14" s="264">
        <v>15</v>
      </c>
      <c r="Z14" s="264">
        <v>3.7</v>
      </c>
      <c r="AA14" s="264">
        <v>33</v>
      </c>
      <c r="AB14" s="264">
        <v>0.79</v>
      </c>
      <c r="AC14" s="264">
        <v>1.6</v>
      </c>
      <c r="AD14" s="264">
        <v>0.12</v>
      </c>
      <c r="AE14" s="264">
        <v>0.69</v>
      </c>
      <c r="AF14" s="264">
        <v>1.1000000000000001</v>
      </c>
      <c r="AG14" s="635">
        <f t="shared" si="29"/>
        <v>6.0000000000000001E-3</v>
      </c>
      <c r="AH14" s="264">
        <v>3.5</v>
      </c>
      <c r="AI14" s="264">
        <v>0.14000000000000001</v>
      </c>
      <c r="AJ14" s="264">
        <v>0.18</v>
      </c>
      <c r="AK14" s="635">
        <f t="shared" si="30"/>
        <v>2.8500000000000001E-3</v>
      </c>
      <c r="AL14" s="265">
        <v>3.2000000000000002E-3</v>
      </c>
      <c r="AM14" s="265">
        <v>0.11</v>
      </c>
      <c r="AN14" s="639">
        <f t="shared" si="31"/>
        <v>5.5000000000000003E-4</v>
      </c>
      <c r="AO14" s="639">
        <f t="shared" si="32"/>
        <v>8.9999999999999993E-3</v>
      </c>
      <c r="AP14" s="264">
        <v>4.3</v>
      </c>
      <c r="AQ14" s="266">
        <v>0.15</v>
      </c>
      <c r="AR14" s="644">
        <f t="shared" si="33"/>
        <v>8.0000000000000002E-3</v>
      </c>
      <c r="AS14" s="267">
        <v>0.56000000000000005</v>
      </c>
      <c r="AT14" s="267">
        <v>0.52</v>
      </c>
      <c r="AU14" s="267">
        <v>0.36</v>
      </c>
      <c r="AV14" s="267">
        <v>0.86</v>
      </c>
      <c r="AW14" s="264">
        <v>0.92</v>
      </c>
      <c r="AX14" s="265">
        <v>1.4</v>
      </c>
      <c r="AY14" s="639">
        <f t="shared" si="34"/>
        <v>2.4E-2</v>
      </c>
      <c r="AZ14" s="265">
        <v>2.2999999999999998</v>
      </c>
      <c r="BA14" s="265">
        <v>1.5</v>
      </c>
      <c r="BB14" s="266"/>
      <c r="BC14" s="619">
        <f t="shared" si="3"/>
        <v>1.0034782608695652</v>
      </c>
      <c r="BD14" s="610">
        <f t="shared" si="4"/>
        <v>0.98933333333333329</v>
      </c>
      <c r="BF14" s="610">
        <f t="shared" si="5"/>
        <v>1.1549295774647888E-4</v>
      </c>
      <c r="BG14" s="610">
        <f t="shared" si="6"/>
        <v>4.6774193548387101E-4</v>
      </c>
      <c r="BH14" s="610">
        <f t="shared" si="7"/>
        <v>0.27083333333333331</v>
      </c>
      <c r="BI14" s="610">
        <f t="shared" si="8"/>
        <v>7.826086956521738E-3</v>
      </c>
      <c r="BJ14" s="610">
        <f t="shared" si="9"/>
        <v>0.27777777777777779</v>
      </c>
      <c r="BK14" s="610">
        <f t="shared" si="10"/>
        <v>1.3076923076923077E-3</v>
      </c>
      <c r="BL14" s="610">
        <f t="shared" si="11"/>
        <v>2.5514403292181071E-3</v>
      </c>
      <c r="BM14" s="610">
        <f t="shared" si="12"/>
        <v>4.3E-3</v>
      </c>
      <c r="BN14" s="563">
        <f t="shared" si="13"/>
        <v>271.4165682265637</v>
      </c>
      <c r="BO14" s="563">
        <f t="shared" si="14"/>
        <v>293.76299737120996</v>
      </c>
      <c r="BP14" s="611">
        <f t="shared" si="15"/>
        <v>0.92393041552333943</v>
      </c>
      <c r="BR14" s="564">
        <f t="shared" si="16"/>
        <v>17.875</v>
      </c>
      <c r="BS14" s="564">
        <f t="shared" si="17"/>
        <v>3.7410000000000006E-2</v>
      </c>
      <c r="BT14" s="564">
        <f t="shared" si="18"/>
        <v>0.44999999999999996</v>
      </c>
      <c r="BU14" s="564">
        <f t="shared" si="19"/>
        <v>3.6799999999999997</v>
      </c>
      <c r="BV14" s="564">
        <f t="shared" si="20"/>
        <v>1.5</v>
      </c>
      <c r="BW14" s="564">
        <f t="shared" si="21"/>
        <v>0.43193000000000004</v>
      </c>
      <c r="BX14" s="564">
        <f t="shared" si="0"/>
        <v>7.8399999999999997E-2</v>
      </c>
      <c r="BY14" s="564">
        <f t="shared" si="22"/>
        <v>0.1173</v>
      </c>
      <c r="BZ14" s="564">
        <f t="shared" si="23"/>
        <v>3.5070000000000006E-3</v>
      </c>
      <c r="CA14" s="564">
        <f t="shared" si="24"/>
        <v>24.173546999999999</v>
      </c>
      <c r="CB14" s="611">
        <f t="shared" si="25"/>
        <v>0.77231779552715651</v>
      </c>
      <c r="CC14" s="610"/>
      <c r="CD14" s="610">
        <f t="shared" si="26"/>
        <v>0.60526315789473684</v>
      </c>
      <c r="CE14" s="610">
        <f t="shared" si="27"/>
        <v>0</v>
      </c>
      <c r="CF14" s="610">
        <f t="shared" si="36"/>
        <v>6.0000000000000053E-2</v>
      </c>
      <c r="CG14" s="610">
        <f t="shared" si="37"/>
        <v>1.4239999999999999</v>
      </c>
    </row>
    <row r="15" spans="2:85" ht="20.149999999999999" customHeight="1" x14ac:dyDescent="0.2">
      <c r="B15" s="31" t="s">
        <v>202</v>
      </c>
      <c r="C15" s="32" t="s">
        <v>206</v>
      </c>
      <c r="D15" s="33">
        <v>28.6</v>
      </c>
      <c r="E15" s="644">
        <f>0.5*0.0082</f>
        <v>4.1000000000000003E-3</v>
      </c>
      <c r="F15" s="264">
        <v>2.5000000000000001E-2</v>
      </c>
      <c r="G15" s="264">
        <v>12</v>
      </c>
      <c r="H15" s="267">
        <v>9.1999999999999998E-2</v>
      </c>
      <c r="I15" s="264">
        <v>4.5</v>
      </c>
      <c r="J15" s="264">
        <v>7.1999999999999995E-2</v>
      </c>
      <c r="K15" s="264">
        <v>2.5999999999999999E-2</v>
      </c>
      <c r="L15" s="266">
        <v>0.11</v>
      </c>
      <c r="M15" s="263">
        <v>140</v>
      </c>
      <c r="N15" s="264">
        <v>48</v>
      </c>
      <c r="O15" s="264">
        <v>20</v>
      </c>
      <c r="P15" s="264">
        <v>130</v>
      </c>
      <c r="Q15" s="264">
        <v>50</v>
      </c>
      <c r="R15" s="635">
        <f t="shared" si="28"/>
        <v>1.2500000000000001E-2</v>
      </c>
      <c r="S15" s="635">
        <f>0.5*1.7</f>
        <v>0.85</v>
      </c>
      <c r="T15" s="264">
        <v>31</v>
      </c>
      <c r="U15" s="635">
        <f t="shared" si="35"/>
        <v>0.7</v>
      </c>
      <c r="V15" s="264">
        <v>4.7</v>
      </c>
      <c r="W15" s="264">
        <v>56</v>
      </c>
      <c r="X15" s="264">
        <v>8.1000000000000003E-2</v>
      </c>
      <c r="Y15" s="264">
        <v>8.9</v>
      </c>
      <c r="Z15" s="264">
        <v>6.4</v>
      </c>
      <c r="AA15" s="264">
        <v>33</v>
      </c>
      <c r="AB15" s="264">
        <v>1.7</v>
      </c>
      <c r="AC15" s="264">
        <v>1.6</v>
      </c>
      <c r="AD15" s="264">
        <v>0.17</v>
      </c>
      <c r="AE15" s="264">
        <v>0.59</v>
      </c>
      <c r="AF15" s="264">
        <v>1.3</v>
      </c>
      <c r="AG15" s="635">
        <f t="shared" si="29"/>
        <v>6.0000000000000001E-3</v>
      </c>
      <c r="AH15" s="264">
        <v>3.3</v>
      </c>
      <c r="AI15" s="264">
        <v>0.1</v>
      </c>
      <c r="AJ15" s="264">
        <v>0.13</v>
      </c>
      <c r="AK15" s="635">
        <f t="shared" si="30"/>
        <v>2.8500000000000001E-3</v>
      </c>
      <c r="AL15" s="265">
        <v>2.2000000000000001E-3</v>
      </c>
      <c r="AM15" s="265">
        <v>0.18</v>
      </c>
      <c r="AN15" s="639">
        <f t="shared" si="31"/>
        <v>5.5000000000000003E-4</v>
      </c>
      <c r="AO15" s="639">
        <f t="shared" si="32"/>
        <v>8.9999999999999993E-3</v>
      </c>
      <c r="AP15" s="264">
        <v>7.1</v>
      </c>
      <c r="AQ15" s="266">
        <v>0.26</v>
      </c>
      <c r="AR15" s="644">
        <f t="shared" si="33"/>
        <v>8.0000000000000002E-3</v>
      </c>
      <c r="AS15" s="267">
        <v>0.69</v>
      </c>
      <c r="AT15" s="267">
        <v>0.51</v>
      </c>
      <c r="AU15" s="267">
        <v>0.35</v>
      </c>
      <c r="AV15" s="267">
        <v>0.74</v>
      </c>
      <c r="AW15" s="264">
        <v>0.88</v>
      </c>
      <c r="AX15" s="265">
        <v>1.5</v>
      </c>
      <c r="AY15" s="639">
        <f t="shared" si="34"/>
        <v>2.4E-2</v>
      </c>
      <c r="AZ15" s="265">
        <v>2.2999999999999998</v>
      </c>
      <c r="BA15" s="265">
        <v>1.6</v>
      </c>
      <c r="BB15" s="266"/>
      <c r="BC15" s="619">
        <f t="shared" si="3"/>
        <v>0.99913043478260877</v>
      </c>
      <c r="BD15" s="610">
        <f t="shared" si="4"/>
        <v>1.0399999999999998</v>
      </c>
      <c r="BF15" s="610">
        <f t="shared" si="5"/>
        <v>1.1549295774647888E-4</v>
      </c>
      <c r="BG15" s="610">
        <f t="shared" si="6"/>
        <v>4.032258064516129E-4</v>
      </c>
      <c r="BH15" s="610">
        <f t="shared" si="7"/>
        <v>0.25</v>
      </c>
      <c r="BI15" s="610">
        <f t="shared" si="8"/>
        <v>4.0000000000000001E-3</v>
      </c>
      <c r="BJ15" s="610">
        <f t="shared" si="9"/>
        <v>0.25</v>
      </c>
      <c r="BK15" s="610">
        <f t="shared" si="10"/>
        <v>1.8461538461538461E-3</v>
      </c>
      <c r="BL15" s="610">
        <f t="shared" si="11"/>
        <v>2.1399176954732509E-3</v>
      </c>
      <c r="BM15" s="610">
        <f t="shared" si="12"/>
        <v>5.4999999999999997E-3</v>
      </c>
      <c r="BN15" s="563">
        <f t="shared" si="13"/>
        <v>250.51871876419807</v>
      </c>
      <c r="BO15" s="563">
        <f t="shared" si="14"/>
        <v>263.48607154162704</v>
      </c>
      <c r="BP15" s="611">
        <f t="shared" si="15"/>
        <v>0.95078543354660661</v>
      </c>
      <c r="BR15" s="564">
        <f t="shared" si="16"/>
        <v>16.5</v>
      </c>
      <c r="BS15" s="564">
        <f t="shared" si="17"/>
        <v>3.2250000000000001E-2</v>
      </c>
      <c r="BT15" s="564">
        <f t="shared" si="18"/>
        <v>0.22999999999999998</v>
      </c>
      <c r="BU15" s="564">
        <f t="shared" si="19"/>
        <v>3.6799999999999997</v>
      </c>
      <c r="BV15" s="564">
        <f t="shared" si="20"/>
        <v>1.6</v>
      </c>
      <c r="BW15" s="564">
        <f t="shared" si="21"/>
        <v>0.44112000000000001</v>
      </c>
      <c r="BX15" s="564">
        <f t="shared" si="0"/>
        <v>6.9999999999999993E-2</v>
      </c>
      <c r="BY15" s="564">
        <f t="shared" si="22"/>
        <v>7.7280000000000001E-2</v>
      </c>
      <c r="BZ15" s="564">
        <f t="shared" si="23"/>
        <v>1.4194999999999998E-3</v>
      </c>
      <c r="CA15" s="564">
        <f t="shared" si="24"/>
        <v>22.632069500000004</v>
      </c>
      <c r="CB15" s="611">
        <f t="shared" si="25"/>
        <v>0.79133110139860152</v>
      </c>
      <c r="CC15" s="610"/>
      <c r="CD15" s="610">
        <f t="shared" si="26"/>
        <v>0.58974358974358976</v>
      </c>
      <c r="CE15" s="610">
        <f t="shared" si="27"/>
        <v>0</v>
      </c>
      <c r="CF15" s="610">
        <f t="shared" si="36"/>
        <v>0.14000000000000001</v>
      </c>
      <c r="CG15" s="610">
        <f t="shared" si="37"/>
        <v>1.524</v>
      </c>
    </row>
    <row r="16" spans="2:85" ht="20.149999999999999" customHeight="1" x14ac:dyDescent="0.2">
      <c r="B16" s="31" t="s">
        <v>202</v>
      </c>
      <c r="C16" s="32" t="s">
        <v>207</v>
      </c>
      <c r="D16" s="33">
        <v>33.5</v>
      </c>
      <c r="E16" s="644">
        <f>0.5*0.0082</f>
        <v>4.1000000000000003E-3</v>
      </c>
      <c r="F16" s="264">
        <v>1.2E-2</v>
      </c>
      <c r="G16" s="264">
        <v>14</v>
      </c>
      <c r="H16" s="267">
        <v>6.4000000000000001E-2</v>
      </c>
      <c r="I16" s="264">
        <v>5.7</v>
      </c>
      <c r="J16" s="264">
        <v>7.9000000000000001E-2</v>
      </c>
      <c r="K16" s="264">
        <v>1.4999999999999999E-2</v>
      </c>
      <c r="L16" s="642">
        <f>0.5*0.067</f>
        <v>3.3500000000000002E-2</v>
      </c>
      <c r="M16" s="263">
        <v>150</v>
      </c>
      <c r="N16" s="264">
        <v>34</v>
      </c>
      <c r="O16" s="264">
        <v>21</v>
      </c>
      <c r="P16" s="264">
        <v>210</v>
      </c>
      <c r="Q16" s="264">
        <v>200</v>
      </c>
      <c r="R16" s="635">
        <f t="shared" si="28"/>
        <v>1.2500000000000001E-2</v>
      </c>
      <c r="S16" s="264">
        <v>3.3</v>
      </c>
      <c r="T16" s="264">
        <v>42</v>
      </c>
      <c r="U16" s="635">
        <f t="shared" si="35"/>
        <v>0.7</v>
      </c>
      <c r="V16" s="264">
        <v>7.2</v>
      </c>
      <c r="W16" s="264">
        <v>86</v>
      </c>
      <c r="X16" s="264">
        <v>0.14000000000000001</v>
      </c>
      <c r="Y16" s="264">
        <v>13</v>
      </c>
      <c r="Z16" s="264">
        <v>6</v>
      </c>
      <c r="AA16" s="264">
        <v>97</v>
      </c>
      <c r="AB16" s="264">
        <v>2.5</v>
      </c>
      <c r="AC16" s="264">
        <v>2.4</v>
      </c>
      <c r="AD16" s="264">
        <v>0.31</v>
      </c>
      <c r="AE16" s="264">
        <v>0.86</v>
      </c>
      <c r="AF16" s="264">
        <v>1.5</v>
      </c>
      <c r="AG16" s="635">
        <f t="shared" si="29"/>
        <v>6.0000000000000001E-3</v>
      </c>
      <c r="AH16" s="264">
        <v>4.7</v>
      </c>
      <c r="AI16" s="264">
        <v>0.11</v>
      </c>
      <c r="AJ16" s="264">
        <v>0.13</v>
      </c>
      <c r="AK16" s="635">
        <f t="shared" si="30"/>
        <v>2.8500000000000001E-3</v>
      </c>
      <c r="AL16" s="265">
        <v>3.5999999999999999E-3</v>
      </c>
      <c r="AM16" s="265">
        <v>0.2</v>
      </c>
      <c r="AN16" s="639">
        <f t="shared" si="31"/>
        <v>5.5000000000000003E-4</v>
      </c>
      <c r="AO16" s="639">
        <f t="shared" si="32"/>
        <v>8.9999999999999993E-3</v>
      </c>
      <c r="AP16" s="264">
        <v>12</v>
      </c>
      <c r="AQ16" s="266">
        <v>0.54</v>
      </c>
      <c r="AR16" s="644">
        <f t="shared" si="33"/>
        <v>8.0000000000000002E-3</v>
      </c>
      <c r="AS16" s="267">
        <v>0.89</v>
      </c>
      <c r="AT16" s="267">
        <v>0.62</v>
      </c>
      <c r="AU16" s="267">
        <v>0.45</v>
      </c>
      <c r="AV16" s="267">
        <v>0.92</v>
      </c>
      <c r="AW16" s="264">
        <v>1.1000000000000001</v>
      </c>
      <c r="AX16" s="265">
        <v>1.4</v>
      </c>
      <c r="AY16" s="639">
        <f t="shared" si="34"/>
        <v>2.4E-2</v>
      </c>
      <c r="AZ16" s="265">
        <v>2.9</v>
      </c>
      <c r="BA16" s="265">
        <v>1.6</v>
      </c>
      <c r="BB16" s="266"/>
      <c r="BC16" s="619">
        <f t="shared" si="3"/>
        <v>0.99586206896551721</v>
      </c>
      <c r="BD16" s="610">
        <f t="shared" si="4"/>
        <v>1.0024999999999999</v>
      </c>
      <c r="BF16" s="610">
        <f t="shared" si="5"/>
        <v>1.1549295774647888E-4</v>
      </c>
      <c r="BG16" s="610">
        <f t="shared" si="6"/>
        <v>1.9354838709677419E-4</v>
      </c>
      <c r="BH16" s="610">
        <f t="shared" si="7"/>
        <v>0.29166666666666669</v>
      </c>
      <c r="BI16" s="610">
        <f t="shared" si="8"/>
        <v>2.7826086956521741E-3</v>
      </c>
      <c r="BJ16" s="610">
        <f t="shared" si="9"/>
        <v>0.31666666666666665</v>
      </c>
      <c r="BK16" s="610">
        <f t="shared" si="10"/>
        <v>2.0256410256410257E-3</v>
      </c>
      <c r="BL16" s="610">
        <f t="shared" si="11"/>
        <v>1.2345679012345679E-3</v>
      </c>
      <c r="BM16" s="610">
        <f t="shared" si="12"/>
        <v>1.6750000000000001E-3</v>
      </c>
      <c r="BN16" s="563">
        <f t="shared" si="13"/>
        <v>291.97570801150994</v>
      </c>
      <c r="BO16" s="563">
        <f t="shared" si="14"/>
        <v>324.38448428919435</v>
      </c>
      <c r="BP16" s="611">
        <f t="shared" si="15"/>
        <v>0.90009147216550767</v>
      </c>
      <c r="BR16" s="564">
        <f t="shared" si="16"/>
        <v>19.25</v>
      </c>
      <c r="BS16" s="564">
        <f t="shared" si="17"/>
        <v>1.5480000000000001E-2</v>
      </c>
      <c r="BT16" s="564">
        <f t="shared" si="18"/>
        <v>0.16</v>
      </c>
      <c r="BU16" s="564">
        <f t="shared" si="19"/>
        <v>4.6399999999999997</v>
      </c>
      <c r="BV16" s="564">
        <f t="shared" si="20"/>
        <v>1.6</v>
      </c>
      <c r="BW16" s="564">
        <f t="shared" si="21"/>
        <v>0.31246000000000002</v>
      </c>
      <c r="BX16" s="564">
        <f t="shared" si="0"/>
        <v>0.27999999999999997</v>
      </c>
      <c r="BY16" s="564">
        <f t="shared" si="22"/>
        <v>0.11867999999999998</v>
      </c>
      <c r="BZ16" s="564">
        <f t="shared" si="23"/>
        <v>5.5109999999999994E-3</v>
      </c>
      <c r="CA16" s="564">
        <f t="shared" si="24"/>
        <v>26.382131000000005</v>
      </c>
      <c r="CB16" s="611">
        <f t="shared" si="25"/>
        <v>0.78752629850746281</v>
      </c>
      <c r="CC16" s="610"/>
      <c r="CD16" s="610">
        <f t="shared" si="26"/>
        <v>0.64444444444444438</v>
      </c>
      <c r="CE16" s="610">
        <f t="shared" si="27"/>
        <v>0</v>
      </c>
      <c r="CF16" s="610">
        <f t="shared" si="36"/>
        <v>0.18000000000000005</v>
      </c>
      <c r="CG16" s="610">
        <f t="shared" si="37"/>
        <v>1.4239999999999999</v>
      </c>
    </row>
    <row r="17" spans="2:85" ht="20.149999999999999" customHeight="1" x14ac:dyDescent="0.2">
      <c r="B17" s="31" t="s">
        <v>202</v>
      </c>
      <c r="C17" s="32" t="s">
        <v>208</v>
      </c>
      <c r="D17" s="33">
        <v>32.700000000000003</v>
      </c>
      <c r="E17" s="263">
        <v>0.21</v>
      </c>
      <c r="F17" s="264">
        <v>2.1000000000000001E-2</v>
      </c>
      <c r="G17" s="264">
        <v>17</v>
      </c>
      <c r="H17" s="267">
        <v>0.25</v>
      </c>
      <c r="I17" s="264">
        <v>7.3</v>
      </c>
      <c r="J17" s="264">
        <v>0.13</v>
      </c>
      <c r="K17" s="264">
        <v>2.5000000000000001E-2</v>
      </c>
      <c r="L17" s="266">
        <v>0.15</v>
      </c>
      <c r="M17" s="263">
        <v>140</v>
      </c>
      <c r="N17" s="264">
        <v>30</v>
      </c>
      <c r="O17" s="264">
        <v>19</v>
      </c>
      <c r="P17" s="264">
        <v>260</v>
      </c>
      <c r="Q17" s="264">
        <v>330</v>
      </c>
      <c r="R17" s="635">
        <f t="shared" si="28"/>
        <v>1.2500000000000001E-2</v>
      </c>
      <c r="S17" s="264">
        <v>1.8</v>
      </c>
      <c r="T17" s="264">
        <v>35</v>
      </c>
      <c r="U17" s="635">
        <f t="shared" si="35"/>
        <v>0.7</v>
      </c>
      <c r="V17" s="264">
        <v>6.6</v>
      </c>
      <c r="W17" s="264">
        <v>75</v>
      </c>
      <c r="X17" s="264">
        <v>0.13</v>
      </c>
      <c r="Y17" s="264">
        <v>10</v>
      </c>
      <c r="Z17" s="264">
        <v>7.1</v>
      </c>
      <c r="AA17" s="264">
        <v>160</v>
      </c>
      <c r="AB17" s="264">
        <v>3.2</v>
      </c>
      <c r="AC17" s="264">
        <v>2.8</v>
      </c>
      <c r="AD17" s="264">
        <v>0.43</v>
      </c>
      <c r="AE17" s="264">
        <v>0.79</v>
      </c>
      <c r="AF17" s="264">
        <v>1.4</v>
      </c>
      <c r="AG17" s="635">
        <f t="shared" si="29"/>
        <v>6.0000000000000001E-3</v>
      </c>
      <c r="AH17" s="264">
        <v>7.3</v>
      </c>
      <c r="AI17" s="264">
        <v>8.5000000000000006E-2</v>
      </c>
      <c r="AJ17" s="264">
        <v>9.6000000000000002E-2</v>
      </c>
      <c r="AK17" s="635">
        <f t="shared" si="30"/>
        <v>2.8500000000000001E-3</v>
      </c>
      <c r="AL17" s="639">
        <f>0.5*0.0018</f>
        <v>8.9999999999999998E-4</v>
      </c>
      <c r="AM17" s="265">
        <v>0.21</v>
      </c>
      <c r="AN17" s="639">
        <f t="shared" si="31"/>
        <v>5.5000000000000003E-4</v>
      </c>
      <c r="AO17" s="639">
        <f t="shared" si="32"/>
        <v>8.9999999999999993E-3</v>
      </c>
      <c r="AP17" s="264">
        <v>13</v>
      </c>
      <c r="AQ17" s="266">
        <v>0.47</v>
      </c>
      <c r="AR17" s="644">
        <f t="shared" si="33"/>
        <v>8.0000000000000002E-3</v>
      </c>
      <c r="AS17" s="267">
        <v>0.72</v>
      </c>
      <c r="AT17" s="267">
        <v>0.53</v>
      </c>
      <c r="AU17" s="267">
        <v>0.46</v>
      </c>
      <c r="AV17" s="267">
        <v>0.81</v>
      </c>
      <c r="AW17" s="264">
        <v>0.9</v>
      </c>
      <c r="AX17" s="265">
        <v>1.2</v>
      </c>
      <c r="AY17" s="639">
        <f t="shared" si="34"/>
        <v>2.4E-2</v>
      </c>
      <c r="AZ17" s="265">
        <v>2.5</v>
      </c>
      <c r="BA17" s="265">
        <v>1.3</v>
      </c>
      <c r="BB17" s="266"/>
      <c r="BC17" s="619">
        <f t="shared" si="3"/>
        <v>1.0112000000000001</v>
      </c>
      <c r="BD17" s="610">
        <f t="shared" si="4"/>
        <v>1.0107692307692309</v>
      </c>
      <c r="BF17" s="610">
        <f t="shared" si="5"/>
        <v>5.915492957746479E-3</v>
      </c>
      <c r="BG17" s="610">
        <f t="shared" si="6"/>
        <v>3.3870967741935485E-4</v>
      </c>
      <c r="BH17" s="610">
        <f t="shared" si="7"/>
        <v>0.35416666666666669</v>
      </c>
      <c r="BI17" s="610">
        <f t="shared" si="8"/>
        <v>1.0869565217391304E-2</v>
      </c>
      <c r="BJ17" s="610">
        <f t="shared" si="9"/>
        <v>0.40555555555555556</v>
      </c>
      <c r="BK17" s="610">
        <f t="shared" si="10"/>
        <v>3.3333333333333335E-3</v>
      </c>
      <c r="BL17" s="610">
        <f t="shared" si="11"/>
        <v>2.05761316872428E-3</v>
      </c>
      <c r="BM17" s="610">
        <f t="shared" si="12"/>
        <v>7.4999999999999997E-3</v>
      </c>
      <c r="BN17" s="563">
        <f t="shared" si="13"/>
        <v>360.42086930183251</v>
      </c>
      <c r="BO17" s="563">
        <f t="shared" si="14"/>
        <v>429.31606727500451</v>
      </c>
      <c r="BP17" s="611">
        <f t="shared" si="15"/>
        <v>0.83952336466121547</v>
      </c>
      <c r="BR17" s="564">
        <f t="shared" si="16"/>
        <v>23.375</v>
      </c>
      <c r="BS17" s="564">
        <f t="shared" si="17"/>
        <v>2.7090000000000003E-2</v>
      </c>
      <c r="BT17" s="564">
        <f t="shared" si="18"/>
        <v>0.625</v>
      </c>
      <c r="BU17" s="564">
        <f t="shared" si="19"/>
        <v>4</v>
      </c>
      <c r="BV17" s="564">
        <f t="shared" si="20"/>
        <v>1.3</v>
      </c>
      <c r="BW17" s="564">
        <f t="shared" si="21"/>
        <v>0.2757</v>
      </c>
      <c r="BX17" s="564">
        <f t="shared" si="0"/>
        <v>0.46199999999999997</v>
      </c>
      <c r="BY17" s="564">
        <f t="shared" si="22"/>
        <v>0.10349999999999999</v>
      </c>
      <c r="BZ17" s="564">
        <f t="shared" si="23"/>
        <v>3.006E-3</v>
      </c>
      <c r="CA17" s="564">
        <f t="shared" si="24"/>
        <v>30.171296000000002</v>
      </c>
      <c r="CB17" s="611">
        <f t="shared" si="25"/>
        <v>0.92266960244648311</v>
      </c>
      <c r="CC17" s="610"/>
      <c r="CD17" s="610">
        <f t="shared" si="26"/>
        <v>0.65789473684210531</v>
      </c>
      <c r="CE17" s="610">
        <f t="shared" si="27"/>
        <v>0</v>
      </c>
      <c r="CF17" s="610">
        <f t="shared" si="36"/>
        <v>8.9999999999999969E-2</v>
      </c>
      <c r="CG17" s="610">
        <f t="shared" si="37"/>
        <v>1.224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33.6</v>
      </c>
      <c r="E18" s="645">
        <f>0.5*0.0082</f>
        <v>4.1000000000000003E-3</v>
      </c>
      <c r="F18" s="274">
        <v>1.9E-2</v>
      </c>
      <c r="G18" s="274">
        <v>18</v>
      </c>
      <c r="H18" s="279">
        <v>6.8000000000000005E-2</v>
      </c>
      <c r="I18" s="274">
        <v>8.9</v>
      </c>
      <c r="J18" s="274">
        <v>8.8999999999999996E-2</v>
      </c>
      <c r="K18" s="274">
        <v>1.6E-2</v>
      </c>
      <c r="L18" s="669">
        <f>0.5*0.067</f>
        <v>3.3500000000000002E-2</v>
      </c>
      <c r="M18" s="273">
        <v>130</v>
      </c>
      <c r="N18" s="274">
        <v>35</v>
      </c>
      <c r="O18" s="274">
        <v>32</v>
      </c>
      <c r="P18" s="274">
        <v>180</v>
      </c>
      <c r="Q18" s="274">
        <v>94</v>
      </c>
      <c r="R18" s="636">
        <f t="shared" si="28"/>
        <v>1.2500000000000001E-2</v>
      </c>
      <c r="S18" s="274">
        <v>3.5</v>
      </c>
      <c r="T18" s="274">
        <v>22</v>
      </c>
      <c r="U18" s="636">
        <f t="shared" si="35"/>
        <v>0.7</v>
      </c>
      <c r="V18" s="274">
        <v>4.7</v>
      </c>
      <c r="W18" s="274">
        <v>76</v>
      </c>
      <c r="X18" s="274">
        <v>0.1</v>
      </c>
      <c r="Y18" s="274">
        <v>6.7</v>
      </c>
      <c r="Z18" s="274">
        <v>5.5</v>
      </c>
      <c r="AA18" s="274">
        <v>50</v>
      </c>
      <c r="AB18" s="274">
        <v>3.4</v>
      </c>
      <c r="AC18" s="274">
        <v>2.9</v>
      </c>
      <c r="AD18" s="274">
        <v>0.36</v>
      </c>
      <c r="AE18" s="274">
        <v>0.62</v>
      </c>
      <c r="AF18" s="274">
        <v>1</v>
      </c>
      <c r="AG18" s="636">
        <f t="shared" si="29"/>
        <v>6.0000000000000001E-3</v>
      </c>
      <c r="AH18" s="274">
        <v>3.1</v>
      </c>
      <c r="AI18" s="274">
        <v>9.0999999999999998E-2</v>
      </c>
      <c r="AJ18" s="274">
        <v>0.12</v>
      </c>
      <c r="AK18" s="636">
        <f t="shared" si="30"/>
        <v>2.8500000000000001E-3</v>
      </c>
      <c r="AL18" s="277">
        <v>2.3999999999999998E-3</v>
      </c>
      <c r="AM18" s="277">
        <v>0.11</v>
      </c>
      <c r="AN18" s="640">
        <f t="shared" si="31"/>
        <v>5.5000000000000003E-4</v>
      </c>
      <c r="AO18" s="640">
        <f t="shared" si="32"/>
        <v>8.9999999999999993E-3</v>
      </c>
      <c r="AP18" s="274">
        <v>11</v>
      </c>
      <c r="AQ18" s="278">
        <v>0.39</v>
      </c>
      <c r="AR18" s="645">
        <f t="shared" si="33"/>
        <v>8.0000000000000002E-3</v>
      </c>
      <c r="AS18" s="279">
        <v>0.66</v>
      </c>
      <c r="AT18" s="279">
        <v>0.55000000000000004</v>
      </c>
      <c r="AU18" s="279">
        <v>0.38</v>
      </c>
      <c r="AV18" s="279">
        <v>0.72</v>
      </c>
      <c r="AW18" s="274">
        <v>0.83</v>
      </c>
      <c r="AX18" s="277">
        <v>1.2</v>
      </c>
      <c r="AY18" s="640">
        <f t="shared" si="34"/>
        <v>2.4E-2</v>
      </c>
      <c r="AZ18" s="277">
        <v>2.2999999999999998</v>
      </c>
      <c r="BA18" s="277">
        <v>1.3</v>
      </c>
      <c r="BB18" s="278"/>
      <c r="BC18" s="620">
        <f t="shared" si="3"/>
        <v>1.0078260869565216</v>
      </c>
      <c r="BD18" s="617">
        <f t="shared" si="4"/>
        <v>1.026153846153846</v>
      </c>
      <c r="BE18" s="616"/>
      <c r="BF18" s="617">
        <f t="shared" si="5"/>
        <v>1.1549295774647888E-4</v>
      </c>
      <c r="BG18" s="617">
        <f t="shared" si="6"/>
        <v>3.064516129032258E-4</v>
      </c>
      <c r="BH18" s="617">
        <f t="shared" si="7"/>
        <v>0.375</v>
      </c>
      <c r="BI18" s="617">
        <f t="shared" si="8"/>
        <v>2.956521739130435E-3</v>
      </c>
      <c r="BJ18" s="617">
        <f t="shared" si="9"/>
        <v>0.49444444444444446</v>
      </c>
      <c r="BK18" s="617">
        <f t="shared" si="10"/>
        <v>2.2820512820512819E-3</v>
      </c>
      <c r="BL18" s="617">
        <f t="shared" si="11"/>
        <v>1.316872427983539E-3</v>
      </c>
      <c r="BM18" s="617">
        <f t="shared" si="12"/>
        <v>1.6750000000000001E-3</v>
      </c>
      <c r="BN18" s="621">
        <f t="shared" si="13"/>
        <v>375.42194457064971</v>
      </c>
      <c r="BO18" s="621">
        <f t="shared" si="14"/>
        <v>502.67488989360965</v>
      </c>
      <c r="BP18" s="618">
        <f t="shared" si="15"/>
        <v>0.74684841458881546</v>
      </c>
      <c r="BQ18" s="616"/>
      <c r="BR18" s="615">
        <f t="shared" si="16"/>
        <v>24.75</v>
      </c>
      <c r="BS18" s="615">
        <f t="shared" si="17"/>
        <v>2.4510000000000001E-2</v>
      </c>
      <c r="BT18" s="615">
        <f t="shared" si="18"/>
        <v>0.17</v>
      </c>
      <c r="BU18" s="615">
        <f t="shared" si="19"/>
        <v>3.6799999999999997</v>
      </c>
      <c r="BV18" s="615">
        <f t="shared" si="20"/>
        <v>1.3</v>
      </c>
      <c r="BW18" s="615">
        <f t="shared" si="21"/>
        <v>0.32164999999999999</v>
      </c>
      <c r="BX18" s="615">
        <f t="shared" si="0"/>
        <v>0.13159999999999999</v>
      </c>
      <c r="BY18" s="615">
        <f t="shared" si="22"/>
        <v>0.10487999999999999</v>
      </c>
      <c r="BZ18" s="615">
        <f t="shared" si="23"/>
        <v>5.8449999999999995E-3</v>
      </c>
      <c r="CA18" s="615">
        <f t="shared" si="24"/>
        <v>30.488485000000004</v>
      </c>
      <c r="CB18" s="618">
        <f t="shared" si="25"/>
        <v>0.90739538690476196</v>
      </c>
      <c r="CC18" s="617"/>
      <c r="CD18" s="617">
        <f t="shared" si="26"/>
        <v>0.63888888888888895</v>
      </c>
      <c r="CE18" s="617">
        <f t="shared" si="27"/>
        <v>0</v>
      </c>
      <c r="CF18" s="617">
        <f t="shared" si="36"/>
        <v>0.10999999999999999</v>
      </c>
      <c r="CG18" s="617">
        <f t="shared" si="37"/>
        <v>1.224</v>
      </c>
    </row>
    <row r="19" spans="2:85" ht="20.149999999999999" customHeight="1" x14ac:dyDescent="0.2">
      <c r="B19" s="31" t="s">
        <v>61</v>
      </c>
      <c r="C19" s="46" t="s">
        <v>92</v>
      </c>
      <c r="D19" s="47">
        <v>25</v>
      </c>
      <c r="E19" s="282" t="s">
        <v>225</v>
      </c>
      <c r="F19" s="283">
        <v>1.7999999999999999E-2</v>
      </c>
      <c r="G19" s="283">
        <v>13</v>
      </c>
      <c r="H19" s="287">
        <v>5.8999999999999997E-2</v>
      </c>
      <c r="I19" s="283">
        <v>5</v>
      </c>
      <c r="J19" s="283">
        <v>8.4000000000000005E-2</v>
      </c>
      <c r="K19" s="283">
        <v>1.4E-2</v>
      </c>
      <c r="L19" s="286" t="s">
        <v>459</v>
      </c>
      <c r="M19" s="282">
        <v>100</v>
      </c>
      <c r="N19" s="283">
        <v>31</v>
      </c>
      <c r="O19" s="283">
        <v>60</v>
      </c>
      <c r="P19" s="283">
        <v>160</v>
      </c>
      <c r="Q19" s="283" t="s">
        <v>468</v>
      </c>
      <c r="R19" s="283" t="s">
        <v>293</v>
      </c>
      <c r="S19" s="283">
        <v>3.2</v>
      </c>
      <c r="T19" s="283">
        <v>16</v>
      </c>
      <c r="U19" s="283" t="s">
        <v>69</v>
      </c>
      <c r="V19" s="283">
        <v>5.9</v>
      </c>
      <c r="W19" s="283">
        <v>71</v>
      </c>
      <c r="X19" s="283">
        <v>8.8999999999999996E-2</v>
      </c>
      <c r="Y19" s="283">
        <v>4.5999999999999996</v>
      </c>
      <c r="Z19" s="283">
        <v>5.4</v>
      </c>
      <c r="AA19" s="283">
        <v>21</v>
      </c>
      <c r="AB19" s="283">
        <v>3.3</v>
      </c>
      <c r="AC19" s="283">
        <v>2.9</v>
      </c>
      <c r="AD19" s="283">
        <v>0.39</v>
      </c>
      <c r="AE19" s="283">
        <v>0.52</v>
      </c>
      <c r="AF19" s="283">
        <v>1.4</v>
      </c>
      <c r="AG19" s="283" t="s">
        <v>298</v>
      </c>
      <c r="AH19" s="283">
        <v>2.7</v>
      </c>
      <c r="AI19" s="283">
        <v>6.6000000000000003E-2</v>
      </c>
      <c r="AJ19" s="283" t="s">
        <v>238</v>
      </c>
      <c r="AK19" s="283" t="s">
        <v>462</v>
      </c>
      <c r="AL19" s="285">
        <v>3.3E-3</v>
      </c>
      <c r="AM19" s="285">
        <v>8.6999999999999994E-2</v>
      </c>
      <c r="AN19" s="285" t="s">
        <v>475</v>
      </c>
      <c r="AO19" s="285" t="s">
        <v>73</v>
      </c>
      <c r="AP19" s="283">
        <v>13</v>
      </c>
      <c r="AQ19" s="286">
        <v>0.41</v>
      </c>
      <c r="AR19" s="282" t="s">
        <v>285</v>
      </c>
      <c r="AS19" s="287">
        <v>0.39</v>
      </c>
      <c r="AT19" s="287" t="s">
        <v>476</v>
      </c>
      <c r="AU19" s="287">
        <v>0.26</v>
      </c>
      <c r="AV19" s="287">
        <v>0.3</v>
      </c>
      <c r="AW19" s="283">
        <v>0.64</v>
      </c>
      <c r="AX19" s="285">
        <v>1.1000000000000001</v>
      </c>
      <c r="AY19" s="285" t="s">
        <v>477</v>
      </c>
      <c r="AZ19" s="285">
        <v>0.95</v>
      </c>
      <c r="BA19" s="285">
        <v>1.4</v>
      </c>
      <c r="BB19" s="286"/>
      <c r="BC19" s="619">
        <f t="shared" si="3"/>
        <v>1</v>
      </c>
      <c r="BD19" s="610">
        <f t="shared" si="4"/>
        <v>1.0285714285714287</v>
      </c>
      <c r="BF19" s="610" t="e">
        <f t="shared" si="5"/>
        <v>#VALUE!</v>
      </c>
      <c r="BG19" s="610">
        <f t="shared" si="6"/>
        <v>2.9032258064516127E-4</v>
      </c>
      <c r="BH19" s="610">
        <f t="shared" si="7"/>
        <v>0.27083333333333331</v>
      </c>
      <c r="BI19" s="610">
        <f t="shared" si="8"/>
        <v>2.5652173913043477E-3</v>
      </c>
      <c r="BJ19" s="610">
        <f t="shared" si="9"/>
        <v>0.27777777777777779</v>
      </c>
      <c r="BK19" s="610">
        <f t="shared" si="10"/>
        <v>2.1538461538461542E-3</v>
      </c>
      <c r="BL19" s="610">
        <f t="shared" si="11"/>
        <v>1.1522633744855968E-3</v>
      </c>
      <c r="BM19" s="610" t="e">
        <f t="shared" si="12"/>
        <v>#VALUE!</v>
      </c>
      <c r="BN19" s="563" t="e">
        <f t="shared" si="13"/>
        <v>#VALUE!</v>
      </c>
      <c r="BO19" s="563" t="e">
        <f t="shared" si="14"/>
        <v>#VALUE!</v>
      </c>
      <c r="BP19" s="611" t="e">
        <f t="shared" si="15"/>
        <v>#VALUE!</v>
      </c>
      <c r="BR19" s="564">
        <f t="shared" si="16"/>
        <v>17.875</v>
      </c>
      <c r="BS19" s="564">
        <f t="shared" si="17"/>
        <v>2.3219999999999998E-2</v>
      </c>
      <c r="BT19" s="564">
        <f t="shared" si="18"/>
        <v>0.14749999999999999</v>
      </c>
      <c r="BU19" s="564">
        <f t="shared" si="19"/>
        <v>1.52</v>
      </c>
      <c r="BV19" s="564">
        <f t="shared" si="20"/>
        <v>1.4</v>
      </c>
      <c r="BW19" s="564">
        <f t="shared" si="21"/>
        <v>0.28489000000000003</v>
      </c>
      <c r="BX19" s="564" t="e">
        <f t="shared" si="0"/>
        <v>#VALUE!</v>
      </c>
      <c r="BY19" s="564">
        <f t="shared" si="22"/>
        <v>9.7979999999999984E-2</v>
      </c>
      <c r="BZ19" s="564">
        <f t="shared" si="23"/>
        <v>5.3439999999999998E-3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0.4042553191489362</v>
      </c>
      <c r="CE19" s="610">
        <f t="shared" si="27"/>
        <v>0</v>
      </c>
      <c r="CF19" s="610">
        <f t="shared" si="36"/>
        <v>0.34</v>
      </c>
      <c r="CG19" s="610" t="e">
        <f t="shared" si="37"/>
        <v>#VALUE!</v>
      </c>
    </row>
    <row r="20" spans="2:85" ht="20.149999999999999" customHeight="1" x14ac:dyDescent="0.2">
      <c r="B20" s="21" t="s">
        <v>61</v>
      </c>
      <c r="C20" s="52" t="s">
        <v>210</v>
      </c>
      <c r="D20" s="53">
        <v>21.5</v>
      </c>
      <c r="E20" s="298" t="s">
        <v>225</v>
      </c>
      <c r="F20" s="299">
        <v>2.5000000000000001E-2</v>
      </c>
      <c r="G20" s="299">
        <v>11</v>
      </c>
      <c r="H20" s="303" t="s">
        <v>478</v>
      </c>
      <c r="I20" s="299">
        <v>3.8</v>
      </c>
      <c r="J20" s="299">
        <v>7.4999999999999997E-2</v>
      </c>
      <c r="K20" s="299">
        <v>1.2E-2</v>
      </c>
      <c r="L20" s="302" t="s">
        <v>459</v>
      </c>
      <c r="M20" s="298">
        <v>84</v>
      </c>
      <c r="N20" s="299">
        <v>32</v>
      </c>
      <c r="O20" s="299">
        <v>31</v>
      </c>
      <c r="P20" s="299">
        <v>120</v>
      </c>
      <c r="Q20" s="299">
        <v>52</v>
      </c>
      <c r="R20" s="299" t="s">
        <v>293</v>
      </c>
      <c r="S20" s="299">
        <v>2.6</v>
      </c>
      <c r="T20" s="299">
        <v>21</v>
      </c>
      <c r="U20" s="299" t="s">
        <v>69</v>
      </c>
      <c r="V20" s="299">
        <v>4.5</v>
      </c>
      <c r="W20" s="299">
        <v>52</v>
      </c>
      <c r="X20" s="299">
        <v>8.4000000000000005E-2</v>
      </c>
      <c r="Y20" s="299">
        <v>6.1</v>
      </c>
      <c r="Z20" s="299">
        <v>4.5</v>
      </c>
      <c r="AA20" s="299">
        <v>29</v>
      </c>
      <c r="AB20" s="299">
        <v>2.2000000000000002</v>
      </c>
      <c r="AC20" s="299">
        <v>1.9</v>
      </c>
      <c r="AD20" s="299">
        <v>0.27</v>
      </c>
      <c r="AE20" s="299">
        <v>0.37</v>
      </c>
      <c r="AF20" s="299">
        <v>1.1000000000000001</v>
      </c>
      <c r="AG20" s="299" t="s">
        <v>298</v>
      </c>
      <c r="AH20" s="299">
        <v>2.6</v>
      </c>
      <c r="AI20" s="299">
        <v>7.9000000000000001E-2</v>
      </c>
      <c r="AJ20" s="299">
        <v>0.1</v>
      </c>
      <c r="AK20" s="299" t="s">
        <v>462</v>
      </c>
      <c r="AL20" s="301">
        <v>5.3E-3</v>
      </c>
      <c r="AM20" s="301">
        <v>3.3000000000000002E-2</v>
      </c>
      <c r="AN20" s="301" t="s">
        <v>475</v>
      </c>
      <c r="AO20" s="301" t="s">
        <v>73</v>
      </c>
      <c r="AP20" s="299">
        <v>8.4</v>
      </c>
      <c r="AQ20" s="302">
        <v>0.28999999999999998</v>
      </c>
      <c r="AR20" s="298" t="s">
        <v>285</v>
      </c>
      <c r="AS20" s="303">
        <v>0.39</v>
      </c>
      <c r="AT20" s="303">
        <v>0.33</v>
      </c>
      <c r="AU20" s="303">
        <v>0.26</v>
      </c>
      <c r="AV20" s="303">
        <v>0.42</v>
      </c>
      <c r="AW20" s="299">
        <v>0.68</v>
      </c>
      <c r="AX20" s="301">
        <v>1.1000000000000001</v>
      </c>
      <c r="AY20" s="301" t="s">
        <v>477</v>
      </c>
      <c r="AZ20" s="301">
        <v>1.4</v>
      </c>
      <c r="BA20" s="301">
        <v>1.4</v>
      </c>
      <c r="BB20" s="302"/>
      <c r="BC20" s="619">
        <f t="shared" si="3"/>
        <v>1</v>
      </c>
      <c r="BD20" s="610">
        <f t="shared" si="4"/>
        <v>0.97142857142857175</v>
      </c>
      <c r="BF20" s="610" t="e">
        <f t="shared" si="5"/>
        <v>#VALUE!</v>
      </c>
      <c r="BG20" s="610">
        <f t="shared" si="6"/>
        <v>4.032258064516129E-4</v>
      </c>
      <c r="BH20" s="610">
        <f t="shared" si="7"/>
        <v>0.22916666666666666</v>
      </c>
      <c r="BI20" s="610" t="e">
        <f t="shared" si="8"/>
        <v>#VALUE!</v>
      </c>
      <c r="BJ20" s="610">
        <f t="shared" si="9"/>
        <v>0.21111111111111111</v>
      </c>
      <c r="BK20" s="610">
        <f t="shared" si="10"/>
        <v>1.923076923076923E-3</v>
      </c>
      <c r="BL20" s="610">
        <f t="shared" si="11"/>
        <v>9.8765432098765434E-4</v>
      </c>
      <c r="BM20" s="610" t="e">
        <f t="shared" si="12"/>
        <v>#VALUE!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15.125</v>
      </c>
      <c r="BS20" s="564">
        <f t="shared" si="17"/>
        <v>3.2250000000000001E-2</v>
      </c>
      <c r="BT20" s="564" t="e">
        <f t="shared" si="18"/>
        <v>#VALUE!</v>
      </c>
      <c r="BU20" s="564">
        <f t="shared" si="19"/>
        <v>2.2399999999999998</v>
      </c>
      <c r="BV20" s="564">
        <f t="shared" si="20"/>
        <v>1.4</v>
      </c>
      <c r="BW20" s="564">
        <f t="shared" si="21"/>
        <v>0.29408000000000001</v>
      </c>
      <c r="BX20" s="564">
        <f t="shared" si="0"/>
        <v>7.279999999999999E-2</v>
      </c>
      <c r="BY20" s="564">
        <f t="shared" si="22"/>
        <v>7.175999999999999E-2</v>
      </c>
      <c r="BZ20" s="564">
        <f t="shared" si="23"/>
        <v>4.3419999999999995E-3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0.5</v>
      </c>
      <c r="CE20" s="610">
        <f t="shared" si="27"/>
        <v>0</v>
      </c>
      <c r="CF20" s="610">
        <f t="shared" si="36"/>
        <v>0.26000000000000006</v>
      </c>
      <c r="CG20" s="610" t="e">
        <f t="shared" si="37"/>
        <v>#VALUE!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28.171428571428574</v>
      </c>
      <c r="E21" s="549">
        <f t="shared" ref="E21:BB21" si="38">AVERAGE(E12:E18)</f>
        <v>3.3514285714285712E-2</v>
      </c>
      <c r="F21" s="549">
        <f t="shared" si="38"/>
        <v>3.2857142857142856E-2</v>
      </c>
      <c r="G21" s="548">
        <f t="shared" si="38"/>
        <v>12.257142857142856</v>
      </c>
      <c r="H21" s="549">
        <f t="shared" si="38"/>
        <v>0.21200000000000002</v>
      </c>
      <c r="I21" s="548">
        <f t="shared" si="38"/>
        <v>5.0142857142857142</v>
      </c>
      <c r="J21" s="549">
        <f t="shared" si="38"/>
        <v>7.6999999999999999E-2</v>
      </c>
      <c r="K21" s="549">
        <f t="shared" si="38"/>
        <v>3.1428571428571424E-2</v>
      </c>
      <c r="L21" s="549">
        <f t="shared" si="38"/>
        <v>9.4714285714285709E-2</v>
      </c>
      <c r="M21" s="548">
        <f t="shared" si="38"/>
        <v>280</v>
      </c>
      <c r="N21" s="548">
        <f t="shared" si="38"/>
        <v>36.571428571428569</v>
      </c>
      <c r="O21" s="548">
        <f t="shared" si="38"/>
        <v>33.428571428571431</v>
      </c>
      <c r="P21" s="548">
        <f t="shared" si="38"/>
        <v>150.42857142857142</v>
      </c>
      <c r="Q21" s="548">
        <f t="shared" si="38"/>
        <v>135.21428571428572</v>
      </c>
      <c r="R21" s="548">
        <f t="shared" si="38"/>
        <v>1.2499999999999999E-2</v>
      </c>
      <c r="S21" s="548">
        <f t="shared" si="38"/>
        <v>2.6642857142857141</v>
      </c>
      <c r="T21" s="548">
        <f t="shared" si="38"/>
        <v>30.714285714285715</v>
      </c>
      <c r="U21" s="548">
        <f t="shared" si="38"/>
        <v>2.3142857142857136</v>
      </c>
      <c r="V21" s="548">
        <f t="shared" si="38"/>
        <v>4.757142857142858</v>
      </c>
      <c r="W21" s="548">
        <f t="shared" si="38"/>
        <v>74.428571428571431</v>
      </c>
      <c r="X21" s="548">
        <f t="shared" si="38"/>
        <v>9.3714285714285722E-2</v>
      </c>
      <c r="Y21" s="548">
        <f t="shared" si="38"/>
        <v>10.157142857142858</v>
      </c>
      <c r="Z21" s="548">
        <f t="shared" si="38"/>
        <v>4.9285714285714288</v>
      </c>
      <c r="AA21" s="548">
        <f t="shared" si="38"/>
        <v>62.835714285714289</v>
      </c>
      <c r="AB21" s="548">
        <f t="shared" si="38"/>
        <v>1.7671428571428571</v>
      </c>
      <c r="AC21" s="549">
        <f t="shared" si="38"/>
        <v>1.8071428571428572</v>
      </c>
      <c r="AD21" s="549">
        <f t="shared" si="38"/>
        <v>0.21399999999999997</v>
      </c>
      <c r="AE21" s="549">
        <f t="shared" si="38"/>
        <v>0.75142857142857145</v>
      </c>
      <c r="AF21" s="549">
        <f t="shared" si="38"/>
        <v>1.1585714285714286</v>
      </c>
      <c r="AG21" s="549">
        <f t="shared" si="38"/>
        <v>5.9999999999999993E-3</v>
      </c>
      <c r="AH21" s="549">
        <f t="shared" si="38"/>
        <v>4.0714285714285712</v>
      </c>
      <c r="AI21" s="549">
        <f t="shared" si="38"/>
        <v>9.8285714285714282E-2</v>
      </c>
      <c r="AJ21" s="549">
        <f t="shared" si="38"/>
        <v>0.12742857142857142</v>
      </c>
      <c r="AK21" s="549">
        <f t="shared" si="38"/>
        <v>2.8500000000000005E-3</v>
      </c>
      <c r="AL21" s="549">
        <f t="shared" si="38"/>
        <v>2.5142857142857146E-3</v>
      </c>
      <c r="AM21" s="549">
        <f t="shared" si="38"/>
        <v>0.13457142857142856</v>
      </c>
      <c r="AN21" s="549">
        <f t="shared" si="38"/>
        <v>5.5000000000000003E-4</v>
      </c>
      <c r="AO21" s="549">
        <f t="shared" si="38"/>
        <v>8.9999999999999993E-3</v>
      </c>
      <c r="AP21" s="549">
        <f t="shared" si="38"/>
        <v>7.4685714285714289</v>
      </c>
      <c r="AQ21" s="549">
        <f t="shared" si="38"/>
        <v>0.37285714285714283</v>
      </c>
      <c r="AR21" s="548">
        <f t="shared" si="38"/>
        <v>8.0000000000000002E-3</v>
      </c>
      <c r="AS21" s="548">
        <f t="shared" si="38"/>
        <v>0.68285714285714294</v>
      </c>
      <c r="AT21" s="548">
        <f t="shared" si="38"/>
        <v>0.55499999999999994</v>
      </c>
      <c r="AU21" s="548">
        <f t="shared" si="38"/>
        <v>0.42142857142857143</v>
      </c>
      <c r="AV21" s="548">
        <f t="shared" si="38"/>
        <v>0.7957142857142856</v>
      </c>
      <c r="AW21" s="548">
        <f t="shared" si="38"/>
        <v>0.92285714285714293</v>
      </c>
      <c r="AX21" s="548">
        <f t="shared" si="38"/>
        <v>1.3214285714285712</v>
      </c>
      <c r="AY21" s="548">
        <f t="shared" si="38"/>
        <v>2.3999999999999997E-2</v>
      </c>
      <c r="AZ21" s="548">
        <f t="shared" si="38"/>
        <v>2.4171428571428568</v>
      </c>
      <c r="BA21" s="548">
        <f t="shared" si="38"/>
        <v>1.4514285714285715</v>
      </c>
      <c r="BB21" s="548" t="e">
        <f t="shared" si="38"/>
        <v>#DIV/0!</v>
      </c>
      <c r="CD21" s="691">
        <f>AVERAGE(CD12:CD18)</f>
        <v>0.5958456432140643</v>
      </c>
      <c r="CE21" s="691">
        <f>AVERAGE(CE12:CE18)</f>
        <v>0</v>
      </c>
      <c r="CF21" s="691">
        <f>AVERAGE(CF12:CF18)</f>
        <v>0.12714285714285714</v>
      </c>
      <c r="CG21" s="691">
        <f>AVERAGE(CG12:CG18)</f>
        <v>1.3454285714285716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21.121428571428574</v>
      </c>
      <c r="E22" s="551">
        <f t="shared" ref="E22:BB22" si="39">AVERAGE(E7:E20)</f>
        <v>3.3514285714285712E-2</v>
      </c>
      <c r="F22" s="551">
        <f t="shared" si="39"/>
        <v>3.8642857142857152E-2</v>
      </c>
      <c r="G22" s="550">
        <f t="shared" si="39"/>
        <v>8.8142857142857149</v>
      </c>
      <c r="H22" s="551">
        <f t="shared" si="39"/>
        <v>0.22407692307692309</v>
      </c>
      <c r="I22" s="550">
        <f t="shared" si="39"/>
        <v>3.4292857142857143</v>
      </c>
      <c r="J22" s="551">
        <f t="shared" si="39"/>
        <v>7.8071428571428569E-2</v>
      </c>
      <c r="K22" s="551">
        <f t="shared" si="39"/>
        <v>2.9000000000000008E-2</v>
      </c>
      <c r="L22" s="551">
        <f t="shared" si="39"/>
        <v>9.5374999999999988E-2</v>
      </c>
      <c r="M22" s="550">
        <f t="shared" si="39"/>
        <v>276.71428571428572</v>
      </c>
      <c r="N22" s="550">
        <f t="shared" si="39"/>
        <v>32.07692307692308</v>
      </c>
      <c r="O22" s="550">
        <f t="shared" si="39"/>
        <v>33.545454545454547</v>
      </c>
      <c r="P22" s="550">
        <f t="shared" si="39"/>
        <v>135.28571428571428</v>
      </c>
      <c r="Q22" s="550">
        <f t="shared" si="39"/>
        <v>112.04166666666667</v>
      </c>
      <c r="R22" s="550">
        <f t="shared" si="39"/>
        <v>1.2499999999999999E-2</v>
      </c>
      <c r="S22" s="550">
        <f t="shared" si="39"/>
        <v>2.7166666666666668</v>
      </c>
      <c r="T22" s="550">
        <f t="shared" si="39"/>
        <v>22.614285714285717</v>
      </c>
      <c r="U22" s="550">
        <f t="shared" si="39"/>
        <v>3.0124999999999993</v>
      </c>
      <c r="V22" s="550">
        <f t="shared" si="39"/>
        <v>3.8292857142857142</v>
      </c>
      <c r="W22" s="550">
        <f t="shared" si="39"/>
        <v>57.384615384615387</v>
      </c>
      <c r="X22" s="550">
        <f t="shared" si="39"/>
        <v>6.9857142857142854E-2</v>
      </c>
      <c r="Y22" s="550">
        <f t="shared" si="39"/>
        <v>7.7071428571428564</v>
      </c>
      <c r="Z22" s="550">
        <f t="shared" si="39"/>
        <v>4.3449999999999998</v>
      </c>
      <c r="AA22" s="550">
        <f t="shared" si="39"/>
        <v>46.680769230769229</v>
      </c>
      <c r="AB22" s="550">
        <f t="shared" si="39"/>
        <v>1.4738461538461538</v>
      </c>
      <c r="AC22" s="551">
        <f t="shared" si="39"/>
        <v>1.463846153846154</v>
      </c>
      <c r="AD22" s="551">
        <f t="shared" si="39"/>
        <v>0.22040000000000001</v>
      </c>
      <c r="AE22" s="551">
        <f t="shared" si="39"/>
        <v>0.67846153846153845</v>
      </c>
      <c r="AF22" s="551">
        <f t="shared" si="39"/>
        <v>0.96735714285714292</v>
      </c>
      <c r="AG22" s="551">
        <f t="shared" si="39"/>
        <v>5.9999999999999993E-3</v>
      </c>
      <c r="AH22" s="551">
        <f t="shared" si="39"/>
        <v>4.0307142857142866</v>
      </c>
      <c r="AI22" s="551">
        <f t="shared" si="39"/>
        <v>7.4999999999999983E-2</v>
      </c>
      <c r="AJ22" s="551">
        <f t="shared" si="39"/>
        <v>0.124</v>
      </c>
      <c r="AK22" s="551">
        <f t="shared" si="39"/>
        <v>2.8500000000000005E-3</v>
      </c>
      <c r="AL22" s="551">
        <f t="shared" si="39"/>
        <v>2.81E-3</v>
      </c>
      <c r="AM22" s="551">
        <f t="shared" si="39"/>
        <v>0.10907692307692307</v>
      </c>
      <c r="AN22" s="551">
        <f t="shared" si="39"/>
        <v>5.5000000000000003E-4</v>
      </c>
      <c r="AO22" s="551">
        <f t="shared" si="39"/>
        <v>8.9999999999999993E-3</v>
      </c>
      <c r="AP22" s="551">
        <f t="shared" si="39"/>
        <v>5.8040714285714285</v>
      </c>
      <c r="AQ22" s="551">
        <f t="shared" si="39"/>
        <v>0.28684615384615381</v>
      </c>
      <c r="AR22" s="550">
        <f t="shared" si="39"/>
        <v>8.0000000000000002E-3</v>
      </c>
      <c r="AS22" s="550">
        <f t="shared" si="39"/>
        <v>0.57454545454545447</v>
      </c>
      <c r="AT22" s="550">
        <f t="shared" si="39"/>
        <v>0.55124999999999991</v>
      </c>
      <c r="AU22" s="550">
        <f t="shared" si="39"/>
        <v>0.38571428571428568</v>
      </c>
      <c r="AV22" s="550">
        <f t="shared" si="39"/>
        <v>0.61571428571428566</v>
      </c>
      <c r="AW22" s="550">
        <f t="shared" si="39"/>
        <v>0.7757142857142858</v>
      </c>
      <c r="AX22" s="550">
        <f t="shared" si="39"/>
        <v>1.0557142857142856</v>
      </c>
      <c r="AY22" s="550">
        <f t="shared" si="39"/>
        <v>2.3999999999999997E-2</v>
      </c>
      <c r="AZ22" s="550">
        <f t="shared" si="39"/>
        <v>1.9085714285714286</v>
      </c>
      <c r="BA22" s="550">
        <f t="shared" si="39"/>
        <v>1.2214285714285715</v>
      </c>
      <c r="BB22" s="550" t="e">
        <f t="shared" si="39"/>
        <v>#DIV/0!</v>
      </c>
      <c r="CD22" s="691">
        <f>AVERAGE(CD7:CD20)</f>
        <v>0.57605802541827789</v>
      </c>
      <c r="CE22" s="691">
        <f>AVERAGE(CE7:CE20)</f>
        <v>0</v>
      </c>
      <c r="CF22" s="691">
        <f>AVERAGE(CF7:CF20)</f>
        <v>0.16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260">
        <v>8.2000000000000007E-3</v>
      </c>
      <c r="F23" s="256">
        <v>7.0000000000000001E-3</v>
      </c>
      <c r="G23" s="256">
        <v>1.4E-2</v>
      </c>
      <c r="H23" s="260">
        <v>5.6000000000000001E-2</v>
      </c>
      <c r="I23" s="256">
        <v>3.5000000000000003E-2</v>
      </c>
      <c r="J23" s="256">
        <v>9.7000000000000003E-3</v>
      </c>
      <c r="K23" s="256">
        <v>5.0000000000000001E-3</v>
      </c>
      <c r="L23" s="259">
        <v>6.7000000000000004E-2</v>
      </c>
      <c r="M23" s="260">
        <v>9.6999999999999993</v>
      </c>
      <c r="N23" s="256">
        <v>4.8</v>
      </c>
      <c r="O23" s="256">
        <v>14</v>
      </c>
      <c r="P23" s="256">
        <v>13</v>
      </c>
      <c r="Q23" s="256">
        <v>33</v>
      </c>
      <c r="R23" s="256">
        <v>2.5000000000000001E-2</v>
      </c>
      <c r="S23" s="256">
        <v>1.7</v>
      </c>
      <c r="T23" s="256">
        <v>8.6999999999999994E-3</v>
      </c>
      <c r="U23" s="256">
        <v>1.4</v>
      </c>
      <c r="V23" s="256">
        <v>0.17</v>
      </c>
      <c r="W23" s="256">
        <v>7</v>
      </c>
      <c r="X23" s="256">
        <v>0.01</v>
      </c>
      <c r="Y23" s="256">
        <v>6.7000000000000004E-2</v>
      </c>
      <c r="Z23" s="256">
        <v>0.48</v>
      </c>
      <c r="AA23" s="256">
        <v>5.7</v>
      </c>
      <c r="AB23" s="256">
        <v>2.7E-2</v>
      </c>
      <c r="AC23" s="256">
        <v>6.5000000000000002E-2</v>
      </c>
      <c r="AD23" s="256">
        <v>2.8000000000000001E-2</v>
      </c>
      <c r="AE23" s="256">
        <v>1.4E-2</v>
      </c>
      <c r="AF23" s="256">
        <v>0.01</v>
      </c>
      <c r="AG23" s="256">
        <v>1.2E-2</v>
      </c>
      <c r="AH23" s="256">
        <v>5.1999999999999998E-2</v>
      </c>
      <c r="AI23" s="256">
        <v>4.4999999999999997E-3</v>
      </c>
      <c r="AJ23" s="256">
        <v>9.1999999999999998E-2</v>
      </c>
      <c r="AK23" s="256">
        <v>5.7000000000000002E-3</v>
      </c>
      <c r="AL23" s="258">
        <v>1.8E-3</v>
      </c>
      <c r="AM23" s="377">
        <v>2.5000000000000001E-2</v>
      </c>
      <c r="AN23" s="377">
        <v>1.1000000000000001E-3</v>
      </c>
      <c r="AO23" s="377">
        <v>1.7999999999999999E-2</v>
      </c>
      <c r="AP23" s="378">
        <v>3.2000000000000001E-2</v>
      </c>
      <c r="AQ23" s="379">
        <v>1.4999999999999999E-2</v>
      </c>
      <c r="AR23" s="255">
        <v>1.6E-2</v>
      </c>
      <c r="AS23" s="260">
        <v>0.32</v>
      </c>
      <c r="AT23" s="260">
        <v>0.31</v>
      </c>
      <c r="AU23" s="260">
        <v>8.2000000000000003E-2</v>
      </c>
      <c r="AV23" s="260">
        <v>2.9E-4</v>
      </c>
      <c r="AW23" s="256">
        <v>5.2999999999999999E-2</v>
      </c>
      <c r="AX23" s="258">
        <v>3.5000000000000003E-2</v>
      </c>
      <c r="AY23" s="258">
        <v>4.8000000000000001E-2</v>
      </c>
      <c r="AZ23" s="258"/>
      <c r="BA23" s="258"/>
      <c r="BB23" s="259"/>
    </row>
    <row r="24" spans="2:85" ht="20.149999999999999" customHeight="1" x14ac:dyDescent="0.2">
      <c r="B24" s="692" t="s">
        <v>95</v>
      </c>
      <c r="C24" s="693"/>
      <c r="D24" s="61"/>
      <c r="E24" s="303">
        <v>2.7E-2</v>
      </c>
      <c r="F24" s="299">
        <v>2.3E-2</v>
      </c>
      <c r="G24" s="299">
        <v>4.8000000000000001E-2</v>
      </c>
      <c r="H24" s="303">
        <v>0.19</v>
      </c>
      <c r="I24" s="299">
        <v>0.12</v>
      </c>
      <c r="J24" s="299">
        <v>3.2000000000000001E-2</v>
      </c>
      <c r="K24" s="299">
        <v>1.7000000000000001E-2</v>
      </c>
      <c r="L24" s="302">
        <v>0.22</v>
      </c>
      <c r="M24" s="303">
        <v>32</v>
      </c>
      <c r="N24" s="299">
        <v>16</v>
      </c>
      <c r="O24" s="299">
        <v>48</v>
      </c>
      <c r="P24" s="299">
        <v>43</v>
      </c>
      <c r="Q24" s="299">
        <v>110</v>
      </c>
      <c r="R24" s="299">
        <v>8.5000000000000006E-2</v>
      </c>
      <c r="S24" s="299">
        <v>5.7</v>
      </c>
      <c r="T24" s="299">
        <v>2.8000000000000001E-2</v>
      </c>
      <c r="U24" s="299">
        <v>4.7</v>
      </c>
      <c r="V24" s="299">
        <v>0.57999999999999996</v>
      </c>
      <c r="W24" s="299">
        <v>23</v>
      </c>
      <c r="X24" s="299">
        <v>3.5000000000000003E-2</v>
      </c>
      <c r="Y24" s="299">
        <v>0.22</v>
      </c>
      <c r="Z24" s="299">
        <v>1.6</v>
      </c>
      <c r="AA24" s="299">
        <v>18</v>
      </c>
      <c r="AB24" s="299">
        <v>8.6999999999999994E-2</v>
      </c>
      <c r="AC24" s="299">
        <v>0.22</v>
      </c>
      <c r="AD24" s="299">
        <v>9.7000000000000003E-2</v>
      </c>
      <c r="AE24" s="299">
        <v>4.7E-2</v>
      </c>
      <c r="AF24" s="299">
        <v>3.5000000000000003E-2</v>
      </c>
      <c r="AG24" s="299">
        <v>0.04</v>
      </c>
      <c r="AH24" s="299">
        <v>0.17</v>
      </c>
      <c r="AI24" s="299">
        <v>1.4999999999999999E-2</v>
      </c>
      <c r="AJ24" s="299">
        <v>0.3</v>
      </c>
      <c r="AK24" s="299">
        <v>1.7999999999999999E-2</v>
      </c>
      <c r="AL24" s="301">
        <v>6.0000000000000001E-3</v>
      </c>
      <c r="AM24" s="301">
        <v>8.3000000000000004E-2</v>
      </c>
      <c r="AN24" s="301">
        <v>3.8E-3</v>
      </c>
      <c r="AO24" s="301">
        <v>0.06</v>
      </c>
      <c r="AP24" s="299">
        <v>0.11</v>
      </c>
      <c r="AQ24" s="302">
        <v>4.8000000000000001E-2</v>
      </c>
      <c r="AR24" s="298">
        <v>5.2999999999999999E-2</v>
      </c>
      <c r="AS24" s="303">
        <v>1.1000000000000001</v>
      </c>
      <c r="AT24" s="303">
        <v>1</v>
      </c>
      <c r="AU24" s="303">
        <v>0.28000000000000003</v>
      </c>
      <c r="AV24" s="303">
        <v>9.7000000000000005E-4</v>
      </c>
      <c r="AW24" s="299">
        <v>0.17</v>
      </c>
      <c r="AX24" s="301">
        <v>0.12</v>
      </c>
      <c r="AY24" s="301">
        <v>0.17</v>
      </c>
      <c r="AZ24" s="301"/>
      <c r="BA24" s="301"/>
      <c r="BB24" s="30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15" priority="6" stopIfTrue="1" operator="notBetween">
      <formula>0.8</formula>
      <formula>1.2</formula>
    </cfRule>
  </conditionalFormatting>
  <conditionalFormatting sqref="BC7:BD20">
    <cfRule type="cellIs" dxfId="14" priority="5" stopIfTrue="1" operator="notBetween">
      <formula>0.9</formula>
      <formula>1.1</formula>
    </cfRule>
  </conditionalFormatting>
  <conditionalFormatting sqref="BP7:BP20">
    <cfRule type="cellIs" dxfId="13" priority="3" stopIfTrue="1" operator="notBetween">
      <formula>0.8</formula>
      <formula>1.2</formula>
    </cfRule>
  </conditionalFormatting>
  <conditionalFormatting sqref="CF7:CF20">
    <cfRule type="cellIs" dxfId="12" priority="1" stopIfTrue="1" operator="lessThan">
      <formula>0</formula>
    </cfRule>
  </conditionalFormatting>
  <dataValidations disablePrompts="1" count="1">
    <dataValidation type="list" allowBlank="1" sqref="E3:F3">
      <formula1>$E$31:$E$37</formula1>
    </dataValidation>
  </dataValidations>
  <pageMargins left="0.70866141732283472" right="0.51181102362204722" top="1.47" bottom="0.74803149606299213" header="0.31496062992125984" footer="0.31496062992125984"/>
  <pageSetup paperSize="9" scale="2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A4" zoomScale="70" zoomScaleNormal="70" workbookViewId="0">
      <pane xSplit="4" ySplit="3" topLeftCell="BL7" activePane="bottomRight" state="frozen"/>
      <selection activeCell="CF7" sqref="CF7:CG20"/>
      <selection pane="topRight" activeCell="CF7" sqref="CF7:CG20"/>
      <selection pane="bottomLeft" activeCell="CF7" sqref="CF7:CG20"/>
      <selection pane="bottomRight"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458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215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2" t="s">
        <v>192</v>
      </c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58">
        <v>6.8</v>
      </c>
      <c r="E7" s="255" t="s">
        <v>225</v>
      </c>
      <c r="F7" s="256">
        <v>7.0999999999999994E-2</v>
      </c>
      <c r="G7" s="256">
        <v>1.6</v>
      </c>
      <c r="H7" s="260">
        <v>0.11</v>
      </c>
      <c r="I7" s="256">
        <v>0.53</v>
      </c>
      <c r="J7" s="256">
        <v>0.11</v>
      </c>
      <c r="K7" s="256">
        <v>1.2E-2</v>
      </c>
      <c r="L7" s="259" t="s">
        <v>459</v>
      </c>
      <c r="M7" s="255">
        <v>220</v>
      </c>
      <c r="N7" s="256" t="s">
        <v>460</v>
      </c>
      <c r="O7" s="256" t="s">
        <v>436</v>
      </c>
      <c r="P7" s="256">
        <v>130</v>
      </c>
      <c r="Q7" s="256">
        <v>39</v>
      </c>
      <c r="R7" s="256" t="s">
        <v>293</v>
      </c>
      <c r="S7" s="256" t="s">
        <v>291</v>
      </c>
      <c r="T7" s="256">
        <v>5.6</v>
      </c>
      <c r="U7" s="256" t="s">
        <v>461</v>
      </c>
      <c r="V7" s="256">
        <v>5.8</v>
      </c>
      <c r="W7" s="256">
        <v>53</v>
      </c>
      <c r="X7" s="256">
        <v>6.0999999999999999E-2</v>
      </c>
      <c r="Y7" s="256">
        <v>1.7</v>
      </c>
      <c r="Z7" s="256">
        <v>4.7</v>
      </c>
      <c r="AA7" s="256">
        <v>67</v>
      </c>
      <c r="AB7" s="256">
        <v>0.35</v>
      </c>
      <c r="AC7" s="256">
        <v>0.53</v>
      </c>
      <c r="AD7" s="256">
        <v>0.16</v>
      </c>
      <c r="AE7" s="256">
        <v>0.7</v>
      </c>
      <c r="AF7" s="256">
        <v>2.2000000000000002</v>
      </c>
      <c r="AG7" s="256" t="s">
        <v>298</v>
      </c>
      <c r="AH7" s="256">
        <v>2.6</v>
      </c>
      <c r="AI7" s="256">
        <v>4.7E-2</v>
      </c>
      <c r="AJ7" s="256" t="s">
        <v>238</v>
      </c>
      <c r="AK7" s="256" t="s">
        <v>462</v>
      </c>
      <c r="AL7" s="258" t="s">
        <v>463</v>
      </c>
      <c r="AM7" s="258">
        <v>0.27</v>
      </c>
      <c r="AN7" s="258" t="s">
        <v>464</v>
      </c>
      <c r="AO7" s="258" t="s">
        <v>73</v>
      </c>
      <c r="AP7" s="256">
        <v>24</v>
      </c>
      <c r="AQ7" s="259">
        <v>0.4</v>
      </c>
      <c r="AR7" s="255" t="s">
        <v>465</v>
      </c>
      <c r="AS7" s="260" t="s">
        <v>466</v>
      </c>
      <c r="AT7" s="260">
        <v>0.54</v>
      </c>
      <c r="AU7" s="260">
        <v>0.36</v>
      </c>
      <c r="AV7" s="260">
        <v>0.34</v>
      </c>
      <c r="AW7" s="256">
        <v>0.46</v>
      </c>
      <c r="AX7" s="258">
        <v>0.44</v>
      </c>
      <c r="AY7" s="258" t="s">
        <v>467</v>
      </c>
      <c r="AZ7" s="258">
        <v>1.2</v>
      </c>
      <c r="BA7" s="258">
        <v>0.56000000000000005</v>
      </c>
      <c r="BB7" s="259"/>
      <c r="BC7" s="619">
        <f>SUM(AR7:AV7)/AZ7</f>
        <v>1.0333333333333334</v>
      </c>
      <c r="BD7" s="610">
        <f>(SUM(AW7:AY7)-AV7)/BA7</f>
        <v>1</v>
      </c>
      <c r="BF7" s="610" t="e">
        <f>E7/35.5</f>
        <v>#VALUE!</v>
      </c>
      <c r="BG7" s="610">
        <f>F7/62</f>
        <v>1.1451612903225804E-3</v>
      </c>
      <c r="BH7" s="610">
        <f>G7/(96/2)</f>
        <v>3.3333333333333333E-2</v>
      </c>
      <c r="BI7" s="610">
        <f>H7/23</f>
        <v>4.7826086956521737E-3</v>
      </c>
      <c r="BJ7" s="610">
        <f>I7/18</f>
        <v>2.9444444444444447E-2</v>
      </c>
      <c r="BK7" s="610">
        <f>J7/39</f>
        <v>2.8205128205128207E-3</v>
      </c>
      <c r="BL7" s="610">
        <f>K7/(24.3/2)</f>
        <v>9.8765432098765434E-4</v>
      </c>
      <c r="BM7" s="610" t="e">
        <f>L7/(40/2)</f>
        <v>#VALUE!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2.2000000000000002</v>
      </c>
      <c r="BS7" s="564">
        <f>1.29*F7</f>
        <v>9.1589999999999991E-2</v>
      </c>
      <c r="BT7" s="564">
        <f>2.5*H7</f>
        <v>0.27500000000000002</v>
      </c>
      <c r="BU7" s="564">
        <f>1.6*AZ7</f>
        <v>1.92</v>
      </c>
      <c r="BV7" s="564">
        <f>BA7</f>
        <v>0.56000000000000005</v>
      </c>
      <c r="BW7" s="564" t="e">
        <f>9.19/1000*N7</f>
        <v>#VALUE!</v>
      </c>
      <c r="BX7" s="564">
        <f t="shared" ref="BX7:BX20" si="0">Q7/1000*1.4</f>
        <v>5.4599999999999996E-2</v>
      </c>
      <c r="BY7" s="564">
        <f>W7/1000*1.38</f>
        <v>7.3139999999999997E-2</v>
      </c>
      <c r="BZ7" s="564" t="e">
        <f>S7/1000*1.67</f>
        <v>#VALUE!</v>
      </c>
      <c r="CA7" s="564" t="e">
        <f>SUM(BR7:BZ7)</f>
        <v>#VALUE!</v>
      </c>
      <c r="CB7" s="611" t="e">
        <f>CA7/D7</f>
        <v>#VALUE!</v>
      </c>
      <c r="CD7" s="610">
        <f>AZ7/(AZ7+BA7)</f>
        <v>0.68181818181818177</v>
      </c>
      <c r="CE7" s="610">
        <f>BB7/AZ7</f>
        <v>0</v>
      </c>
      <c r="CF7" s="610">
        <f t="shared" ref="CF7:CF12" si="1">IF(AW7-AV7&gt;0,AW7-AV7,0)</f>
        <v>0.12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265">
        <v>9.9</v>
      </c>
      <c r="E8" s="263" t="s">
        <v>225</v>
      </c>
      <c r="F8" s="264">
        <v>8.2000000000000003E-2</v>
      </c>
      <c r="G8" s="264">
        <v>3</v>
      </c>
      <c r="H8" s="267">
        <v>0.25</v>
      </c>
      <c r="I8" s="264">
        <v>1</v>
      </c>
      <c r="J8" s="264">
        <v>6.7000000000000004E-2</v>
      </c>
      <c r="K8" s="264">
        <v>2.7E-2</v>
      </c>
      <c r="L8" s="266" t="s">
        <v>459</v>
      </c>
      <c r="M8" s="263">
        <v>380</v>
      </c>
      <c r="N8" s="264">
        <v>28</v>
      </c>
      <c r="O8" s="264" t="s">
        <v>436</v>
      </c>
      <c r="P8" s="264">
        <v>62</v>
      </c>
      <c r="Q8" s="264">
        <v>130</v>
      </c>
      <c r="R8" s="264" t="s">
        <v>293</v>
      </c>
      <c r="S8" s="264" t="s">
        <v>291</v>
      </c>
      <c r="T8" s="264">
        <v>18</v>
      </c>
      <c r="U8" s="264">
        <v>2.6</v>
      </c>
      <c r="V8" s="264">
        <v>3.1</v>
      </c>
      <c r="W8" s="264">
        <v>34</v>
      </c>
      <c r="X8" s="264">
        <v>4.4999999999999998E-2</v>
      </c>
      <c r="Y8" s="264">
        <v>5.2</v>
      </c>
      <c r="Z8" s="264">
        <v>2</v>
      </c>
      <c r="AA8" s="264">
        <v>63</v>
      </c>
      <c r="AB8" s="264">
        <v>0.45</v>
      </c>
      <c r="AC8" s="264">
        <v>0.57999999999999996</v>
      </c>
      <c r="AD8" s="264" t="s">
        <v>77</v>
      </c>
      <c r="AE8" s="264">
        <v>0.3</v>
      </c>
      <c r="AF8" s="264">
        <v>0.78</v>
      </c>
      <c r="AG8" s="264" t="s">
        <v>298</v>
      </c>
      <c r="AH8" s="264">
        <v>2.1</v>
      </c>
      <c r="AI8" s="264">
        <v>4.2000000000000003E-2</v>
      </c>
      <c r="AJ8" s="264" t="s">
        <v>238</v>
      </c>
      <c r="AK8" s="264" t="s">
        <v>462</v>
      </c>
      <c r="AL8" s="265" t="s">
        <v>463</v>
      </c>
      <c r="AM8" s="265">
        <v>4.5999999999999999E-2</v>
      </c>
      <c r="AN8" s="265" t="s">
        <v>464</v>
      </c>
      <c r="AO8" s="265" t="s">
        <v>73</v>
      </c>
      <c r="AP8" s="264">
        <v>4.7</v>
      </c>
      <c r="AQ8" s="266">
        <v>7.9000000000000001E-2</v>
      </c>
      <c r="AR8" s="263" t="s">
        <v>465</v>
      </c>
      <c r="AS8" s="267" t="s">
        <v>466</v>
      </c>
      <c r="AT8" s="267">
        <v>0.47</v>
      </c>
      <c r="AU8" s="267">
        <v>0.39</v>
      </c>
      <c r="AV8" s="267">
        <v>0.59</v>
      </c>
      <c r="AW8" s="264">
        <v>0.56999999999999995</v>
      </c>
      <c r="AX8" s="265">
        <v>0.51</v>
      </c>
      <c r="AY8" s="265" t="s">
        <v>467</v>
      </c>
      <c r="AZ8" s="265">
        <v>1.5</v>
      </c>
      <c r="BA8" s="265">
        <v>0.49</v>
      </c>
      <c r="BB8" s="266"/>
      <c r="BC8" s="619">
        <f t="shared" ref="BC8:BC20" si="3">SUM(AR8:AV8)/AZ8</f>
        <v>0.96666666666666667</v>
      </c>
      <c r="BD8" s="610">
        <f t="shared" ref="BD8:BD20" si="4">(SUM(AW8:AY8)-AV8)/BA8</f>
        <v>1.0000000000000002</v>
      </c>
      <c r="BF8" s="610" t="e">
        <f t="shared" ref="BF8:BF20" si="5">E8/35.5</f>
        <v>#VALUE!</v>
      </c>
      <c r="BG8" s="610">
        <f t="shared" ref="BG8:BG20" si="6">F8/62</f>
        <v>1.3225806451612903E-3</v>
      </c>
      <c r="BH8" s="610">
        <f t="shared" ref="BH8:BH20" si="7">G8/(96/2)</f>
        <v>6.25E-2</v>
      </c>
      <c r="BI8" s="610">
        <f t="shared" ref="BI8:BI20" si="8">H8/23</f>
        <v>1.0869565217391304E-2</v>
      </c>
      <c r="BJ8" s="610">
        <f t="shared" ref="BJ8:BJ20" si="9">I8/18</f>
        <v>5.5555555555555552E-2</v>
      </c>
      <c r="BK8" s="610">
        <f t="shared" ref="BK8:BK20" si="10">J8/39</f>
        <v>1.717948717948718E-3</v>
      </c>
      <c r="BL8" s="610">
        <f t="shared" ref="BL8:BL20" si="11">K8/(24.3/2)</f>
        <v>2.2222222222222222E-3</v>
      </c>
      <c r="BM8" s="610" t="e">
        <f t="shared" ref="BM8:BM20" si="12">L8/(40/2)</f>
        <v>#VALUE!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4.125</v>
      </c>
      <c r="BS8" s="564">
        <f t="shared" ref="BS8:BS20" si="17">1.29*F8</f>
        <v>0.10578000000000001</v>
      </c>
      <c r="BT8" s="564">
        <f t="shared" ref="BT8:BT20" si="18">2.5*H8</f>
        <v>0.625</v>
      </c>
      <c r="BU8" s="564">
        <f t="shared" ref="BU8:BU20" si="19">1.6*AZ8</f>
        <v>2.4000000000000004</v>
      </c>
      <c r="BV8" s="564">
        <f t="shared" ref="BV8:BV20" si="20">BA8</f>
        <v>0.49</v>
      </c>
      <c r="BW8" s="564">
        <f t="shared" ref="BW8:BW20" si="21">9.19/1000*N8</f>
        <v>0.25731999999999999</v>
      </c>
      <c r="BX8" s="564">
        <f t="shared" si="0"/>
        <v>0.182</v>
      </c>
      <c r="BY8" s="564">
        <f t="shared" ref="BY8:BY20" si="22">W8/1000*1.38</f>
        <v>4.6919999999999996E-2</v>
      </c>
      <c r="BZ8" s="564" t="e">
        <f t="shared" ref="BZ8:BZ20" si="23">S8/1000*1.67</f>
        <v>#VALUE!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0.75376884422110557</v>
      </c>
      <c r="CE8" s="610">
        <f t="shared" ref="CE8:CE20" si="27">BB8/AZ8</f>
        <v>0</v>
      </c>
      <c r="CF8" s="610">
        <f t="shared" si="1"/>
        <v>0</v>
      </c>
      <c r="CG8" s="610" t="e">
        <f t="shared" si="2"/>
        <v>#VALUE!</v>
      </c>
    </row>
    <row r="9" spans="2:85" ht="20.149999999999999" customHeight="1" x14ac:dyDescent="0.2">
      <c r="B9" s="31" t="s">
        <v>61</v>
      </c>
      <c r="C9" s="37" t="s">
        <v>200</v>
      </c>
      <c r="D9" s="265">
        <v>10.5</v>
      </c>
      <c r="E9" s="263" t="s">
        <v>225</v>
      </c>
      <c r="F9" s="264">
        <v>6.7000000000000004E-2</v>
      </c>
      <c r="G9" s="264">
        <v>2.2000000000000002</v>
      </c>
      <c r="H9" s="267">
        <v>0.28999999999999998</v>
      </c>
      <c r="I9" s="264">
        <v>0.67</v>
      </c>
      <c r="J9" s="264">
        <v>0.12</v>
      </c>
      <c r="K9" s="264">
        <v>3.5000000000000003E-2</v>
      </c>
      <c r="L9" s="266" t="s">
        <v>459</v>
      </c>
      <c r="M9" s="263">
        <v>450</v>
      </c>
      <c r="N9" s="264" t="s">
        <v>460</v>
      </c>
      <c r="O9" s="264">
        <v>51</v>
      </c>
      <c r="P9" s="264">
        <v>150</v>
      </c>
      <c r="Q9" s="264" t="s">
        <v>468</v>
      </c>
      <c r="R9" s="264" t="s">
        <v>293</v>
      </c>
      <c r="S9" s="264">
        <v>3.7</v>
      </c>
      <c r="T9" s="264">
        <v>11</v>
      </c>
      <c r="U9" s="264" t="s">
        <v>461</v>
      </c>
      <c r="V9" s="264">
        <v>3.6</v>
      </c>
      <c r="W9" s="264">
        <v>41</v>
      </c>
      <c r="X9" s="264">
        <v>6.5000000000000002E-2</v>
      </c>
      <c r="Y9" s="264">
        <v>3.3</v>
      </c>
      <c r="Z9" s="264">
        <v>4</v>
      </c>
      <c r="AA9" s="264">
        <v>8.6</v>
      </c>
      <c r="AB9" s="264">
        <v>0.46</v>
      </c>
      <c r="AC9" s="264">
        <v>0.64</v>
      </c>
      <c r="AD9" s="264">
        <v>5.3999999999999999E-2</v>
      </c>
      <c r="AE9" s="264">
        <v>0.61</v>
      </c>
      <c r="AF9" s="264">
        <v>1</v>
      </c>
      <c r="AG9" s="264" t="s">
        <v>298</v>
      </c>
      <c r="AH9" s="264">
        <v>4.8</v>
      </c>
      <c r="AI9" s="264">
        <v>7.5999999999999998E-2</v>
      </c>
      <c r="AJ9" s="264" t="s">
        <v>238</v>
      </c>
      <c r="AK9" s="264" t="s">
        <v>462</v>
      </c>
      <c r="AL9" s="265" t="s">
        <v>463</v>
      </c>
      <c r="AM9" s="265">
        <v>0.27</v>
      </c>
      <c r="AN9" s="265" t="s">
        <v>464</v>
      </c>
      <c r="AO9" s="265" t="s">
        <v>73</v>
      </c>
      <c r="AP9" s="264">
        <v>7.6</v>
      </c>
      <c r="AQ9" s="266">
        <v>0.15</v>
      </c>
      <c r="AR9" s="263" t="s">
        <v>465</v>
      </c>
      <c r="AS9" s="267" t="s">
        <v>466</v>
      </c>
      <c r="AT9" s="267">
        <v>0.74</v>
      </c>
      <c r="AU9" s="267">
        <v>0.56000000000000005</v>
      </c>
      <c r="AV9" s="267">
        <v>0.64</v>
      </c>
      <c r="AW9" s="264">
        <v>0.71</v>
      </c>
      <c r="AX9" s="265">
        <v>0.47</v>
      </c>
      <c r="AY9" s="265">
        <v>1.7999999999999999E-2</v>
      </c>
      <c r="AZ9" s="265">
        <v>1.9</v>
      </c>
      <c r="BA9" s="265">
        <v>0.56000000000000005</v>
      </c>
      <c r="BB9" s="266"/>
      <c r="BC9" s="619">
        <f t="shared" si="3"/>
        <v>1.0210526315789474</v>
      </c>
      <c r="BD9" s="610">
        <f t="shared" si="4"/>
        <v>0.99642857142857122</v>
      </c>
      <c r="BF9" s="610" t="e">
        <f t="shared" si="5"/>
        <v>#VALUE!</v>
      </c>
      <c r="BG9" s="610">
        <f t="shared" si="6"/>
        <v>1.0806451612903225E-3</v>
      </c>
      <c r="BH9" s="610">
        <f t="shared" si="7"/>
        <v>4.5833333333333337E-2</v>
      </c>
      <c r="BI9" s="610">
        <f t="shared" si="8"/>
        <v>1.2608695652173912E-2</v>
      </c>
      <c r="BJ9" s="610">
        <f t="shared" si="9"/>
        <v>3.7222222222222226E-2</v>
      </c>
      <c r="BK9" s="610">
        <f t="shared" si="10"/>
        <v>3.0769230769230769E-3</v>
      </c>
      <c r="BL9" s="610">
        <f t="shared" si="11"/>
        <v>2.8806584362139919E-3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3.0250000000000004</v>
      </c>
      <c r="BS9" s="564">
        <f t="shared" si="17"/>
        <v>8.6430000000000007E-2</v>
      </c>
      <c r="BT9" s="564">
        <f t="shared" si="18"/>
        <v>0.72499999999999998</v>
      </c>
      <c r="BU9" s="564">
        <f t="shared" si="19"/>
        <v>3.04</v>
      </c>
      <c r="BV9" s="564">
        <f t="shared" si="20"/>
        <v>0.56000000000000005</v>
      </c>
      <c r="BW9" s="564" t="e">
        <f t="shared" si="21"/>
        <v>#VALUE!</v>
      </c>
      <c r="BX9" s="564" t="e">
        <f t="shared" si="0"/>
        <v>#VALUE!</v>
      </c>
      <c r="BY9" s="564">
        <f t="shared" si="22"/>
        <v>5.6579999999999998E-2</v>
      </c>
      <c r="BZ9" s="564">
        <f t="shared" si="23"/>
        <v>6.1789999999999996E-3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0.77235772357723576</v>
      </c>
      <c r="CE9" s="610">
        <f t="shared" si="27"/>
        <v>0</v>
      </c>
      <c r="CF9" s="610">
        <f t="shared" si="1"/>
        <v>6.9999999999999951E-2</v>
      </c>
      <c r="CG9" s="610">
        <f t="shared" si="2"/>
        <v>0.48799999999999999</v>
      </c>
    </row>
    <row r="10" spans="2:85" ht="20.149999999999999" customHeight="1" x14ac:dyDescent="0.2">
      <c r="B10" s="31" t="s">
        <v>61</v>
      </c>
      <c r="C10" s="32" t="s">
        <v>82</v>
      </c>
      <c r="D10" s="265">
        <v>7.4</v>
      </c>
      <c r="E10" s="263" t="s">
        <v>225</v>
      </c>
      <c r="F10" s="264">
        <v>8.5000000000000006E-2</v>
      </c>
      <c r="G10" s="264">
        <v>1.7</v>
      </c>
      <c r="H10" s="267">
        <v>0.35</v>
      </c>
      <c r="I10" s="264">
        <v>0.43</v>
      </c>
      <c r="J10" s="264">
        <v>7.3999999999999996E-2</v>
      </c>
      <c r="K10" s="264">
        <v>3.5999999999999997E-2</v>
      </c>
      <c r="L10" s="266" t="s">
        <v>459</v>
      </c>
      <c r="M10" s="263">
        <v>450</v>
      </c>
      <c r="N10" s="264" t="s">
        <v>460</v>
      </c>
      <c r="O10" s="264" t="s">
        <v>436</v>
      </c>
      <c r="P10" s="264">
        <v>86</v>
      </c>
      <c r="Q10" s="264">
        <v>44</v>
      </c>
      <c r="R10" s="264" t="s">
        <v>293</v>
      </c>
      <c r="S10" s="264" t="s">
        <v>291</v>
      </c>
      <c r="T10" s="264">
        <v>6.4</v>
      </c>
      <c r="U10" s="264" t="s">
        <v>461</v>
      </c>
      <c r="V10" s="264">
        <v>0.83</v>
      </c>
      <c r="W10" s="264">
        <v>13</v>
      </c>
      <c r="X10" s="264">
        <v>2.5000000000000001E-2</v>
      </c>
      <c r="Y10" s="264">
        <v>1.7</v>
      </c>
      <c r="Z10" s="264">
        <v>2.9</v>
      </c>
      <c r="AA10" s="264">
        <v>41</v>
      </c>
      <c r="AB10" s="264">
        <v>0.21</v>
      </c>
      <c r="AC10" s="264">
        <v>0.3</v>
      </c>
      <c r="AD10" s="264">
        <v>4.1000000000000002E-2</v>
      </c>
      <c r="AE10" s="264">
        <v>0.31</v>
      </c>
      <c r="AF10" s="264">
        <v>1.5</v>
      </c>
      <c r="AG10" s="264" t="s">
        <v>298</v>
      </c>
      <c r="AH10" s="264">
        <v>1.7</v>
      </c>
      <c r="AI10" s="264">
        <v>4.2000000000000003E-2</v>
      </c>
      <c r="AJ10" s="264" t="s">
        <v>238</v>
      </c>
      <c r="AK10" s="264" t="s">
        <v>462</v>
      </c>
      <c r="AL10" s="265" t="s">
        <v>463</v>
      </c>
      <c r="AM10" s="265">
        <v>9.1999999999999998E-2</v>
      </c>
      <c r="AN10" s="265" t="s">
        <v>464</v>
      </c>
      <c r="AO10" s="265" t="s">
        <v>73</v>
      </c>
      <c r="AP10" s="264">
        <v>15</v>
      </c>
      <c r="AQ10" s="266">
        <v>0.23</v>
      </c>
      <c r="AR10" s="263" t="s">
        <v>465</v>
      </c>
      <c r="AS10" s="267" t="s">
        <v>466</v>
      </c>
      <c r="AT10" s="267">
        <v>0.47</v>
      </c>
      <c r="AU10" s="267">
        <v>0.4</v>
      </c>
      <c r="AV10" s="267">
        <v>0.37</v>
      </c>
      <c r="AW10" s="264">
        <v>0.36</v>
      </c>
      <c r="AX10" s="265">
        <v>0.28999999999999998</v>
      </c>
      <c r="AY10" s="265" t="s">
        <v>467</v>
      </c>
      <c r="AZ10" s="265">
        <v>1.2</v>
      </c>
      <c r="BA10" s="265">
        <v>0.28000000000000003</v>
      </c>
      <c r="BB10" s="266"/>
      <c r="BC10" s="619">
        <f t="shared" si="3"/>
        <v>1.0333333333333334</v>
      </c>
      <c r="BD10" s="610">
        <f t="shared" si="4"/>
        <v>0.99999999999999956</v>
      </c>
      <c r="BF10" s="610" t="e">
        <f t="shared" si="5"/>
        <v>#VALUE!</v>
      </c>
      <c r="BG10" s="610">
        <f t="shared" si="6"/>
        <v>1.370967741935484E-3</v>
      </c>
      <c r="BH10" s="610">
        <f t="shared" si="7"/>
        <v>3.5416666666666666E-2</v>
      </c>
      <c r="BI10" s="610">
        <f t="shared" si="8"/>
        <v>1.5217391304347825E-2</v>
      </c>
      <c r="BJ10" s="610">
        <f t="shared" si="9"/>
        <v>2.388888888888889E-2</v>
      </c>
      <c r="BK10" s="610">
        <f t="shared" si="10"/>
        <v>1.8974358974358973E-3</v>
      </c>
      <c r="BL10" s="610">
        <f t="shared" si="11"/>
        <v>2.9629629629629628E-3</v>
      </c>
      <c r="BM10" s="610" t="e">
        <f t="shared" si="12"/>
        <v>#VALUE!</v>
      </c>
      <c r="BN10" s="563" t="e">
        <f t="shared" si="13"/>
        <v>#VALUE!</v>
      </c>
      <c r="BO10" s="563" t="e">
        <f t="shared" si="14"/>
        <v>#VALUE!</v>
      </c>
      <c r="BP10" s="611" t="e">
        <f t="shared" si="15"/>
        <v>#VALUE!</v>
      </c>
      <c r="BR10" s="564">
        <f t="shared" si="16"/>
        <v>2.3374999999999999</v>
      </c>
      <c r="BS10" s="564">
        <f t="shared" si="17"/>
        <v>0.10965000000000001</v>
      </c>
      <c r="BT10" s="564">
        <f t="shared" si="18"/>
        <v>0.875</v>
      </c>
      <c r="BU10" s="564">
        <f t="shared" si="19"/>
        <v>1.92</v>
      </c>
      <c r="BV10" s="564">
        <f t="shared" si="20"/>
        <v>0.28000000000000003</v>
      </c>
      <c r="BW10" s="564" t="e">
        <f t="shared" si="21"/>
        <v>#VALUE!</v>
      </c>
      <c r="BX10" s="564">
        <f t="shared" si="0"/>
        <v>6.1599999999999995E-2</v>
      </c>
      <c r="BY10" s="564">
        <f t="shared" si="22"/>
        <v>1.7939999999999998E-2</v>
      </c>
      <c r="BZ10" s="564" t="e">
        <f t="shared" si="23"/>
        <v>#VALUE!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0.81081081081081074</v>
      </c>
      <c r="CE10" s="610">
        <f t="shared" si="27"/>
        <v>0</v>
      </c>
      <c r="CF10" s="610">
        <f t="shared" si="1"/>
        <v>0</v>
      </c>
      <c r="CG10" s="610" t="e">
        <f t="shared" si="2"/>
        <v>#VALUE!</v>
      </c>
    </row>
    <row r="11" spans="2:85" ht="20.149999999999999" customHeight="1" thickBot="1" x14ac:dyDescent="0.25">
      <c r="B11" s="39" t="s">
        <v>61</v>
      </c>
      <c r="C11" s="40" t="s">
        <v>201</v>
      </c>
      <c r="D11" s="277">
        <v>5.7</v>
      </c>
      <c r="E11" s="273" t="s">
        <v>225</v>
      </c>
      <c r="F11" s="274">
        <v>3.5999999999999997E-2</v>
      </c>
      <c r="G11" s="274">
        <v>3.2</v>
      </c>
      <c r="H11" s="279">
        <v>0.38</v>
      </c>
      <c r="I11" s="274">
        <v>0.9</v>
      </c>
      <c r="J11" s="274">
        <v>5.3999999999999999E-2</v>
      </c>
      <c r="K11" s="274">
        <v>4.3999999999999997E-2</v>
      </c>
      <c r="L11" s="278" t="s">
        <v>459</v>
      </c>
      <c r="M11" s="273">
        <v>43</v>
      </c>
      <c r="N11" s="274" t="s">
        <v>460</v>
      </c>
      <c r="O11" s="274" t="s">
        <v>436</v>
      </c>
      <c r="P11" s="274">
        <v>17</v>
      </c>
      <c r="Q11" s="274">
        <v>51</v>
      </c>
      <c r="R11" s="274" t="s">
        <v>293</v>
      </c>
      <c r="S11" s="274" t="s">
        <v>291</v>
      </c>
      <c r="T11" s="274">
        <v>4.8</v>
      </c>
      <c r="U11" s="274" t="s">
        <v>461</v>
      </c>
      <c r="V11" s="274">
        <v>0.98</v>
      </c>
      <c r="W11" s="274">
        <v>12</v>
      </c>
      <c r="X11" s="274" t="s">
        <v>467</v>
      </c>
      <c r="Y11" s="274">
        <v>1.3</v>
      </c>
      <c r="Z11" s="274" t="s">
        <v>469</v>
      </c>
      <c r="AA11" s="274">
        <v>28</v>
      </c>
      <c r="AB11" s="274">
        <v>0.13</v>
      </c>
      <c r="AC11" s="274">
        <v>0.15</v>
      </c>
      <c r="AD11" s="274" t="s">
        <v>77</v>
      </c>
      <c r="AE11" s="274">
        <v>9.5000000000000001E-2</v>
      </c>
      <c r="AF11" s="274">
        <v>0.22</v>
      </c>
      <c r="AG11" s="274" t="s">
        <v>298</v>
      </c>
      <c r="AH11" s="274">
        <v>0.68</v>
      </c>
      <c r="AI11" s="274">
        <v>1.4E-2</v>
      </c>
      <c r="AJ11" s="274" t="s">
        <v>238</v>
      </c>
      <c r="AK11" s="274" t="s">
        <v>462</v>
      </c>
      <c r="AL11" s="277" t="s">
        <v>463</v>
      </c>
      <c r="AM11" s="277">
        <v>3.2000000000000001E-2</v>
      </c>
      <c r="AN11" s="277" t="s">
        <v>464</v>
      </c>
      <c r="AO11" s="277" t="s">
        <v>73</v>
      </c>
      <c r="AP11" s="274">
        <v>0.83</v>
      </c>
      <c r="AQ11" s="278" t="s">
        <v>287</v>
      </c>
      <c r="AR11" s="273" t="s">
        <v>465</v>
      </c>
      <c r="AS11" s="279" t="s">
        <v>466</v>
      </c>
      <c r="AT11" s="279">
        <v>0.37</v>
      </c>
      <c r="AU11" s="279">
        <v>0.28999999999999998</v>
      </c>
      <c r="AV11" s="279">
        <v>0.35</v>
      </c>
      <c r="AW11" s="274">
        <v>0.34</v>
      </c>
      <c r="AX11" s="277">
        <v>0.35</v>
      </c>
      <c r="AY11" s="277" t="s">
        <v>467</v>
      </c>
      <c r="AZ11" s="277">
        <v>1</v>
      </c>
      <c r="BA11" s="277">
        <v>0.34</v>
      </c>
      <c r="BB11" s="278"/>
      <c r="BC11" s="620">
        <f t="shared" si="3"/>
        <v>1.0099999999999998</v>
      </c>
      <c r="BD11" s="617">
        <f t="shared" si="4"/>
        <v>0.99999999999999989</v>
      </c>
      <c r="BE11" s="616"/>
      <c r="BF11" s="617" t="e">
        <f t="shared" si="5"/>
        <v>#VALUE!</v>
      </c>
      <c r="BG11" s="617">
        <f t="shared" si="6"/>
        <v>5.8064516129032254E-4</v>
      </c>
      <c r="BH11" s="617">
        <f t="shared" si="7"/>
        <v>6.6666666666666666E-2</v>
      </c>
      <c r="BI11" s="617">
        <f t="shared" si="8"/>
        <v>1.6521739130434782E-2</v>
      </c>
      <c r="BJ11" s="617">
        <f t="shared" si="9"/>
        <v>0.05</v>
      </c>
      <c r="BK11" s="617">
        <f t="shared" si="10"/>
        <v>1.3846153846153845E-3</v>
      </c>
      <c r="BL11" s="617">
        <f t="shared" si="11"/>
        <v>3.6213991769547321E-3</v>
      </c>
      <c r="BM11" s="617" t="e">
        <f t="shared" si="12"/>
        <v>#VALUE!</v>
      </c>
      <c r="BN11" s="621" t="e">
        <f t="shared" si="13"/>
        <v>#VALUE!</v>
      </c>
      <c r="BO11" s="621" t="e">
        <f t="shared" si="14"/>
        <v>#VALUE!</v>
      </c>
      <c r="BP11" s="618" t="e">
        <f t="shared" si="15"/>
        <v>#VALUE!</v>
      </c>
      <c r="BQ11" s="616"/>
      <c r="BR11" s="615">
        <f t="shared" si="16"/>
        <v>4.4000000000000004</v>
      </c>
      <c r="BS11" s="615">
        <f t="shared" si="17"/>
        <v>4.6439999999999995E-2</v>
      </c>
      <c r="BT11" s="615">
        <f t="shared" si="18"/>
        <v>0.95</v>
      </c>
      <c r="BU11" s="615">
        <f t="shared" si="19"/>
        <v>1.6</v>
      </c>
      <c r="BV11" s="615">
        <f t="shared" si="20"/>
        <v>0.34</v>
      </c>
      <c r="BW11" s="615" t="e">
        <f t="shared" si="21"/>
        <v>#VALUE!</v>
      </c>
      <c r="BX11" s="615">
        <f t="shared" si="0"/>
        <v>7.1399999999999991E-2</v>
      </c>
      <c r="BY11" s="615">
        <f t="shared" si="22"/>
        <v>1.6559999999999998E-2</v>
      </c>
      <c r="BZ11" s="615" t="e">
        <f t="shared" si="23"/>
        <v>#VALUE!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0.74626865671641784</v>
      </c>
      <c r="CE11" s="617">
        <f t="shared" si="27"/>
        <v>0</v>
      </c>
      <c r="CF11" s="617">
        <f t="shared" si="1"/>
        <v>0</v>
      </c>
      <c r="CG11" s="617" t="e">
        <f t="shared" si="2"/>
        <v>#VALUE!</v>
      </c>
    </row>
    <row r="12" spans="2:85" ht="20.149999999999999" customHeight="1" x14ac:dyDescent="0.2">
      <c r="B12" s="31" t="s">
        <v>202</v>
      </c>
      <c r="C12" s="46" t="s">
        <v>203</v>
      </c>
      <c r="D12" s="285">
        <v>12</v>
      </c>
      <c r="E12" s="643">
        <f>0.5*0.0082</f>
        <v>4.1000000000000003E-3</v>
      </c>
      <c r="F12" s="283">
        <v>3.6999999999999998E-2</v>
      </c>
      <c r="G12" s="283">
        <v>4.5</v>
      </c>
      <c r="H12" s="287">
        <v>6.5000000000000002E-2</v>
      </c>
      <c r="I12" s="283">
        <v>1.8</v>
      </c>
      <c r="J12" s="283">
        <v>0.06</v>
      </c>
      <c r="K12" s="283">
        <v>1.7000000000000001E-2</v>
      </c>
      <c r="L12" s="641">
        <f>0.5*0.067</f>
        <v>3.3500000000000002E-2</v>
      </c>
      <c r="M12" s="282">
        <v>110</v>
      </c>
      <c r="N12" s="637">
        <f>0.5*20</f>
        <v>10</v>
      </c>
      <c r="O12" s="283">
        <v>21</v>
      </c>
      <c r="P12" s="283">
        <v>100</v>
      </c>
      <c r="Q12" s="283">
        <v>150</v>
      </c>
      <c r="R12" s="637">
        <f t="shared" ref="R12:R18" si="28">0.5*0.025</f>
        <v>1.2500000000000001E-2</v>
      </c>
      <c r="S12" s="283">
        <v>1.3</v>
      </c>
      <c r="T12" s="283">
        <v>3.9</v>
      </c>
      <c r="U12" s="637">
        <f>0.5*0.6</f>
        <v>0.3</v>
      </c>
      <c r="V12" s="283">
        <v>7.1</v>
      </c>
      <c r="W12" s="283">
        <v>73</v>
      </c>
      <c r="X12" s="283">
        <v>3.5000000000000003E-2</v>
      </c>
      <c r="Y12" s="283">
        <v>1.3</v>
      </c>
      <c r="Z12" s="283">
        <v>4.3</v>
      </c>
      <c r="AA12" s="283">
        <v>79</v>
      </c>
      <c r="AB12" s="283">
        <v>1.2</v>
      </c>
      <c r="AC12" s="283">
        <v>1</v>
      </c>
      <c r="AD12" s="283">
        <v>0.14000000000000001</v>
      </c>
      <c r="AE12" s="283">
        <v>0.59</v>
      </c>
      <c r="AF12" s="283">
        <v>0.87</v>
      </c>
      <c r="AG12" s="637">
        <f t="shared" ref="AG12:AG18" si="29">0.5*0.012</f>
        <v>6.0000000000000001E-3</v>
      </c>
      <c r="AH12" s="283">
        <v>3.9</v>
      </c>
      <c r="AI12" s="283">
        <v>4.8000000000000001E-2</v>
      </c>
      <c r="AJ12" s="637">
        <f>0.5*0.092</f>
        <v>4.5999999999999999E-2</v>
      </c>
      <c r="AK12" s="637">
        <f t="shared" ref="AK12:AK18" si="30">0.5*0.0057</f>
        <v>2.8500000000000001E-3</v>
      </c>
      <c r="AL12" s="638">
        <f>0.5*0.0018</f>
        <v>8.9999999999999998E-4</v>
      </c>
      <c r="AM12" s="638">
        <f>0.5*0.025</f>
        <v>1.2500000000000001E-2</v>
      </c>
      <c r="AN12" s="638">
        <f t="shared" ref="AN12:AN18" si="31">0.5*0.0015</f>
        <v>7.5000000000000002E-4</v>
      </c>
      <c r="AO12" s="638">
        <f t="shared" ref="AO12:AO18" si="32">0.5*0.018</f>
        <v>8.9999999999999993E-3</v>
      </c>
      <c r="AP12" s="283">
        <v>5.7</v>
      </c>
      <c r="AQ12" s="286">
        <v>0.2</v>
      </c>
      <c r="AR12" s="643">
        <f t="shared" ref="AR12:AR18" si="33">0.5*0.053</f>
        <v>2.6499999999999999E-2</v>
      </c>
      <c r="AS12" s="287">
        <v>0.47</v>
      </c>
      <c r="AT12" s="287">
        <v>0.48</v>
      </c>
      <c r="AU12" s="287">
        <v>0.38</v>
      </c>
      <c r="AV12" s="287">
        <v>0.6</v>
      </c>
      <c r="AW12" s="283">
        <v>0.59</v>
      </c>
      <c r="AX12" s="285">
        <v>0.71</v>
      </c>
      <c r="AY12" s="638">
        <f>0.5*0.01</f>
        <v>5.0000000000000001E-3</v>
      </c>
      <c r="AZ12" s="285">
        <v>1.9</v>
      </c>
      <c r="BA12" s="285">
        <v>0.7</v>
      </c>
      <c r="BB12" s="286"/>
      <c r="BC12" s="619">
        <f t="shared" si="3"/>
        <v>1.0297368421052633</v>
      </c>
      <c r="BD12" s="610">
        <f t="shared" si="4"/>
        <v>1.0071428571428569</v>
      </c>
      <c r="BF12" s="610">
        <f t="shared" si="5"/>
        <v>1.1549295774647888E-4</v>
      </c>
      <c r="BG12" s="610">
        <f t="shared" si="6"/>
        <v>5.9677419354838706E-4</v>
      </c>
      <c r="BH12" s="610">
        <f t="shared" si="7"/>
        <v>9.375E-2</v>
      </c>
      <c r="BI12" s="610">
        <f t="shared" si="8"/>
        <v>2.8260869565217392E-3</v>
      </c>
      <c r="BJ12" s="610">
        <f t="shared" si="9"/>
        <v>0.1</v>
      </c>
      <c r="BK12" s="610">
        <f t="shared" si="10"/>
        <v>1.5384615384615385E-3</v>
      </c>
      <c r="BL12" s="610">
        <f t="shared" si="11"/>
        <v>1.3991769547325103E-3</v>
      </c>
      <c r="BM12" s="610">
        <f t="shared" si="12"/>
        <v>1.6750000000000001E-3</v>
      </c>
      <c r="BN12" s="563">
        <f t="shared" si="13"/>
        <v>94.462267151294867</v>
      </c>
      <c r="BO12" s="563">
        <f t="shared" si="14"/>
        <v>107.43872544971579</v>
      </c>
      <c r="BP12" s="611">
        <f t="shared" si="15"/>
        <v>0.87921991587200787</v>
      </c>
      <c r="BR12" s="564">
        <f t="shared" si="16"/>
        <v>6.1875</v>
      </c>
      <c r="BS12" s="564">
        <f t="shared" si="17"/>
        <v>4.7730000000000002E-2</v>
      </c>
      <c r="BT12" s="564">
        <f t="shared" si="18"/>
        <v>0.16250000000000001</v>
      </c>
      <c r="BU12" s="564">
        <f t="shared" si="19"/>
        <v>3.04</v>
      </c>
      <c r="BV12" s="564">
        <f t="shared" si="20"/>
        <v>0.7</v>
      </c>
      <c r="BW12" s="564">
        <f t="shared" si="21"/>
        <v>9.1900000000000009E-2</v>
      </c>
      <c r="BX12" s="564">
        <f t="shared" si="0"/>
        <v>0.21</v>
      </c>
      <c r="BY12" s="564">
        <f t="shared" si="22"/>
        <v>0.10073999999999998</v>
      </c>
      <c r="BZ12" s="564">
        <f t="shared" si="23"/>
        <v>2.1709999999999998E-3</v>
      </c>
      <c r="CA12" s="564">
        <f t="shared" si="24"/>
        <v>10.542541</v>
      </c>
      <c r="CB12" s="611">
        <f t="shared" si="25"/>
        <v>0.87854508333333337</v>
      </c>
      <c r="CC12" s="610"/>
      <c r="CD12" s="610">
        <f t="shared" si="26"/>
        <v>0.73076923076923084</v>
      </c>
      <c r="CE12" s="610">
        <f t="shared" si="27"/>
        <v>0</v>
      </c>
      <c r="CF12" s="610">
        <f t="shared" si="1"/>
        <v>0</v>
      </c>
      <c r="CG12" s="610">
        <f t="shared" si="2"/>
        <v>0.70499999999999974</v>
      </c>
    </row>
    <row r="13" spans="2:85" ht="20.149999999999999" customHeight="1" x14ac:dyDescent="0.2">
      <c r="B13" s="31" t="s">
        <v>202</v>
      </c>
      <c r="C13" s="40" t="s">
        <v>204</v>
      </c>
      <c r="D13" s="265">
        <v>22</v>
      </c>
      <c r="E13" s="644">
        <f>0.5*0.0082</f>
        <v>4.1000000000000003E-3</v>
      </c>
      <c r="F13" s="264">
        <v>6.6000000000000003E-2</v>
      </c>
      <c r="G13" s="264">
        <v>8</v>
      </c>
      <c r="H13" s="267">
        <v>6.7000000000000004E-2</v>
      </c>
      <c r="I13" s="264">
        <v>3</v>
      </c>
      <c r="J13" s="264">
        <v>8.6999999999999994E-2</v>
      </c>
      <c r="K13" s="264">
        <v>1.7999999999999999E-2</v>
      </c>
      <c r="L13" s="266">
        <v>6.9000000000000006E-2</v>
      </c>
      <c r="M13" s="263">
        <v>180</v>
      </c>
      <c r="N13" s="264">
        <v>26</v>
      </c>
      <c r="O13" s="264">
        <v>41</v>
      </c>
      <c r="P13" s="264">
        <v>120</v>
      </c>
      <c r="Q13" s="635">
        <f>0.5*33</f>
        <v>16.5</v>
      </c>
      <c r="R13" s="635">
        <f t="shared" si="28"/>
        <v>1.2500000000000001E-2</v>
      </c>
      <c r="S13" s="264">
        <v>4.2</v>
      </c>
      <c r="T13" s="264">
        <v>19</v>
      </c>
      <c r="U13" s="635">
        <f>0.5*0.6</f>
        <v>0.3</v>
      </c>
      <c r="V13" s="264">
        <v>8.3000000000000007</v>
      </c>
      <c r="W13" s="264">
        <v>110</v>
      </c>
      <c r="X13" s="264">
        <v>7.1999999999999995E-2</v>
      </c>
      <c r="Y13" s="264">
        <v>5.4</v>
      </c>
      <c r="Z13" s="264">
        <v>4.5999999999999996</v>
      </c>
      <c r="AA13" s="264">
        <v>55</v>
      </c>
      <c r="AB13" s="264">
        <v>1.8</v>
      </c>
      <c r="AC13" s="264">
        <v>2</v>
      </c>
      <c r="AD13" s="264">
        <v>0.25</v>
      </c>
      <c r="AE13" s="264">
        <v>0.88</v>
      </c>
      <c r="AF13" s="264">
        <v>1.8</v>
      </c>
      <c r="AG13" s="635">
        <f t="shared" si="29"/>
        <v>6.0000000000000001E-3</v>
      </c>
      <c r="AH13" s="264">
        <v>4.9000000000000004</v>
      </c>
      <c r="AI13" s="264">
        <v>0.11</v>
      </c>
      <c r="AJ13" s="264">
        <v>0.17</v>
      </c>
      <c r="AK13" s="635">
        <f t="shared" si="30"/>
        <v>2.8500000000000001E-3</v>
      </c>
      <c r="AL13" s="639">
        <f>0.5*0.0018</f>
        <v>8.9999999999999998E-4</v>
      </c>
      <c r="AM13" s="265">
        <v>0.24</v>
      </c>
      <c r="AN13" s="639">
        <f t="shared" si="31"/>
        <v>7.5000000000000002E-4</v>
      </c>
      <c r="AO13" s="639">
        <f t="shared" si="32"/>
        <v>8.9999999999999993E-3</v>
      </c>
      <c r="AP13" s="264">
        <v>9.6999999999999993</v>
      </c>
      <c r="AQ13" s="266">
        <v>0.25</v>
      </c>
      <c r="AR13" s="644">
        <f t="shared" si="33"/>
        <v>2.6499999999999999E-2</v>
      </c>
      <c r="AS13" s="267">
        <v>0.59</v>
      </c>
      <c r="AT13" s="267">
        <v>0.61</v>
      </c>
      <c r="AU13" s="267">
        <v>0.48</v>
      </c>
      <c r="AV13" s="267">
        <v>0.81</v>
      </c>
      <c r="AW13" s="264">
        <v>0.86</v>
      </c>
      <c r="AX13" s="265">
        <v>1.1000000000000001</v>
      </c>
      <c r="AY13" s="639">
        <f>0.5*0.01</f>
        <v>5.0000000000000001E-3</v>
      </c>
      <c r="AZ13" s="265">
        <v>2.5</v>
      </c>
      <c r="BA13" s="265">
        <v>1.2</v>
      </c>
      <c r="BB13" s="266"/>
      <c r="BC13" s="619">
        <f t="shared" si="3"/>
        <v>1.0065999999999999</v>
      </c>
      <c r="BD13" s="610">
        <f t="shared" si="4"/>
        <v>0.96249999999999991</v>
      </c>
      <c r="BF13" s="610">
        <f t="shared" si="5"/>
        <v>1.1549295774647888E-4</v>
      </c>
      <c r="BG13" s="610">
        <f t="shared" si="6"/>
        <v>1.0645161290322581E-3</v>
      </c>
      <c r="BH13" s="610">
        <f t="shared" si="7"/>
        <v>0.16666666666666666</v>
      </c>
      <c r="BI13" s="610">
        <f t="shared" si="8"/>
        <v>2.9130434782608699E-3</v>
      </c>
      <c r="BJ13" s="610">
        <f t="shared" si="9"/>
        <v>0.16666666666666666</v>
      </c>
      <c r="BK13" s="610">
        <f t="shared" si="10"/>
        <v>2.2307692307692306E-3</v>
      </c>
      <c r="BL13" s="610">
        <f t="shared" si="11"/>
        <v>1.4814814814814814E-3</v>
      </c>
      <c r="BM13" s="610">
        <f t="shared" si="12"/>
        <v>3.4500000000000004E-3</v>
      </c>
      <c r="BN13" s="563">
        <f t="shared" si="13"/>
        <v>167.8466757534454</v>
      </c>
      <c r="BO13" s="563">
        <f t="shared" si="14"/>
        <v>176.74196085717824</v>
      </c>
      <c r="BP13" s="611">
        <f t="shared" si="15"/>
        <v>0.94967077958968127</v>
      </c>
      <c r="BR13" s="564">
        <f t="shared" si="16"/>
        <v>11</v>
      </c>
      <c r="BS13" s="564">
        <f t="shared" si="17"/>
        <v>8.5140000000000007E-2</v>
      </c>
      <c r="BT13" s="564">
        <f t="shared" si="18"/>
        <v>0.16750000000000001</v>
      </c>
      <c r="BU13" s="564">
        <f t="shared" si="19"/>
        <v>4</v>
      </c>
      <c r="BV13" s="564">
        <f t="shared" si="20"/>
        <v>1.2</v>
      </c>
      <c r="BW13" s="564">
        <f t="shared" si="21"/>
        <v>0.23894000000000001</v>
      </c>
      <c r="BX13" s="564">
        <f t="shared" si="0"/>
        <v>2.3099999999999999E-2</v>
      </c>
      <c r="BY13" s="564">
        <f t="shared" si="22"/>
        <v>0.15179999999999999</v>
      </c>
      <c r="BZ13" s="564">
        <f t="shared" si="23"/>
        <v>7.0140000000000011E-3</v>
      </c>
      <c r="CA13" s="564">
        <f t="shared" si="24"/>
        <v>16.873494000000004</v>
      </c>
      <c r="CB13" s="611">
        <f t="shared" si="25"/>
        <v>0.76697700000000024</v>
      </c>
      <c r="CC13" s="610"/>
      <c r="CD13" s="610">
        <f t="shared" si="26"/>
        <v>0.67567567567567566</v>
      </c>
      <c r="CE13" s="610">
        <f t="shared" si="27"/>
        <v>0</v>
      </c>
      <c r="CF13" s="610">
        <f t="shared" ref="CF13:CF20" si="34">IF(AW13-AV13&gt;0,AW13-AV13,0)</f>
        <v>4.9999999999999933E-2</v>
      </c>
      <c r="CG13" s="610">
        <f t="shared" ref="CG13:CG20" si="35">IF(AW13-AV13&gt;0,AX13+AY13,AW13+AX13+AY13-AV13)</f>
        <v>1.105</v>
      </c>
    </row>
    <row r="14" spans="2:85" ht="20.149999999999999" customHeight="1" x14ac:dyDescent="0.2">
      <c r="B14" s="31" t="s">
        <v>202</v>
      </c>
      <c r="C14" s="32" t="s">
        <v>205</v>
      </c>
      <c r="D14" s="265">
        <v>29.1</v>
      </c>
      <c r="E14" s="263">
        <v>9.1000000000000004E-3</v>
      </c>
      <c r="F14" s="264">
        <v>0.12</v>
      </c>
      <c r="G14" s="264">
        <v>11</v>
      </c>
      <c r="H14" s="267">
        <v>0.08</v>
      </c>
      <c r="I14" s="264">
        <v>4.4000000000000004</v>
      </c>
      <c r="J14" s="264">
        <v>0.11</v>
      </c>
      <c r="K14" s="264">
        <v>2.1999999999999999E-2</v>
      </c>
      <c r="L14" s="266">
        <v>7.5999999999999998E-2</v>
      </c>
      <c r="M14" s="263">
        <v>130</v>
      </c>
      <c r="N14" s="264">
        <v>75</v>
      </c>
      <c r="O14" s="264">
        <v>47</v>
      </c>
      <c r="P14" s="264">
        <v>170</v>
      </c>
      <c r="Q14" s="635">
        <f>0.5*33</f>
        <v>16.5</v>
      </c>
      <c r="R14" s="635">
        <f t="shared" si="28"/>
        <v>1.2500000000000001E-2</v>
      </c>
      <c r="S14" s="264">
        <v>6.6</v>
      </c>
      <c r="T14" s="264">
        <v>13</v>
      </c>
      <c r="U14" s="264">
        <v>1.8</v>
      </c>
      <c r="V14" s="264">
        <v>10</v>
      </c>
      <c r="W14" s="264">
        <v>160</v>
      </c>
      <c r="X14" s="264">
        <v>8.8999999999999996E-2</v>
      </c>
      <c r="Y14" s="264">
        <v>3.9</v>
      </c>
      <c r="Z14" s="264">
        <v>6.2</v>
      </c>
      <c r="AA14" s="264">
        <v>190</v>
      </c>
      <c r="AB14" s="264">
        <v>3</v>
      </c>
      <c r="AC14" s="264">
        <v>2.5</v>
      </c>
      <c r="AD14" s="264">
        <v>0.36</v>
      </c>
      <c r="AE14" s="264">
        <v>1.1000000000000001</v>
      </c>
      <c r="AF14" s="264">
        <v>1.7</v>
      </c>
      <c r="AG14" s="635">
        <f t="shared" si="29"/>
        <v>6.0000000000000001E-3</v>
      </c>
      <c r="AH14" s="264">
        <v>3.3</v>
      </c>
      <c r="AI14" s="264">
        <v>0.11</v>
      </c>
      <c r="AJ14" s="264">
        <v>0.17</v>
      </c>
      <c r="AK14" s="635">
        <f t="shared" si="30"/>
        <v>2.8500000000000001E-3</v>
      </c>
      <c r="AL14" s="639">
        <f>0.5*0.0018</f>
        <v>8.9999999999999998E-4</v>
      </c>
      <c r="AM14" s="265">
        <v>0.24</v>
      </c>
      <c r="AN14" s="639">
        <f t="shared" si="31"/>
        <v>7.5000000000000002E-4</v>
      </c>
      <c r="AO14" s="639">
        <f t="shared" si="32"/>
        <v>8.9999999999999993E-3</v>
      </c>
      <c r="AP14" s="264">
        <v>14</v>
      </c>
      <c r="AQ14" s="266">
        <v>0.5</v>
      </c>
      <c r="AR14" s="644">
        <f t="shared" si="33"/>
        <v>2.6499999999999999E-2</v>
      </c>
      <c r="AS14" s="267">
        <v>0.75</v>
      </c>
      <c r="AT14" s="267">
        <v>0.71</v>
      </c>
      <c r="AU14" s="267">
        <v>0.48</v>
      </c>
      <c r="AV14" s="267">
        <v>1</v>
      </c>
      <c r="AW14" s="264">
        <v>1.1000000000000001</v>
      </c>
      <c r="AX14" s="265">
        <v>1.4</v>
      </c>
      <c r="AY14" s="639">
        <f>0.5*0.01</f>
        <v>5.0000000000000001E-3</v>
      </c>
      <c r="AZ14" s="265">
        <v>2.9</v>
      </c>
      <c r="BA14" s="265">
        <v>1.5</v>
      </c>
      <c r="BB14" s="266"/>
      <c r="BC14" s="619">
        <f t="shared" si="3"/>
        <v>1.0229310344827587</v>
      </c>
      <c r="BD14" s="610">
        <f t="shared" si="4"/>
        <v>1.0033333333333332</v>
      </c>
      <c r="BF14" s="610">
        <f t="shared" si="5"/>
        <v>2.563380281690141E-4</v>
      </c>
      <c r="BG14" s="610">
        <f t="shared" si="6"/>
        <v>1.9354838709677419E-3</v>
      </c>
      <c r="BH14" s="610">
        <f t="shared" si="7"/>
        <v>0.22916666666666666</v>
      </c>
      <c r="BI14" s="610">
        <f t="shared" si="8"/>
        <v>3.4782608695652175E-3</v>
      </c>
      <c r="BJ14" s="610">
        <f t="shared" si="9"/>
        <v>0.24444444444444446</v>
      </c>
      <c r="BK14" s="610">
        <f t="shared" si="10"/>
        <v>2.8205128205128207E-3</v>
      </c>
      <c r="BL14" s="610">
        <f t="shared" si="11"/>
        <v>1.810699588477366E-3</v>
      </c>
      <c r="BM14" s="610">
        <f t="shared" si="12"/>
        <v>3.8E-3</v>
      </c>
      <c r="BN14" s="563">
        <f t="shared" si="13"/>
        <v>231.35848856580341</v>
      </c>
      <c r="BO14" s="563">
        <f t="shared" si="14"/>
        <v>256.35391772299988</v>
      </c>
      <c r="BP14" s="611">
        <f t="shared" si="15"/>
        <v>0.90249640271070486</v>
      </c>
      <c r="BR14" s="564">
        <f t="shared" si="16"/>
        <v>15.125</v>
      </c>
      <c r="BS14" s="564">
        <f t="shared" si="17"/>
        <v>0.15479999999999999</v>
      </c>
      <c r="BT14" s="564">
        <f t="shared" si="18"/>
        <v>0.2</v>
      </c>
      <c r="BU14" s="564">
        <f t="shared" si="19"/>
        <v>4.6399999999999997</v>
      </c>
      <c r="BV14" s="564">
        <f t="shared" si="20"/>
        <v>1.5</v>
      </c>
      <c r="BW14" s="564">
        <f t="shared" si="21"/>
        <v>0.68925000000000003</v>
      </c>
      <c r="BX14" s="564">
        <f t="shared" si="0"/>
        <v>2.3099999999999999E-2</v>
      </c>
      <c r="BY14" s="564">
        <f t="shared" si="22"/>
        <v>0.2208</v>
      </c>
      <c r="BZ14" s="564">
        <f t="shared" si="23"/>
        <v>1.1021999999999999E-2</v>
      </c>
      <c r="CA14" s="564">
        <f t="shared" si="24"/>
        <v>22.563972</v>
      </c>
      <c r="CB14" s="611">
        <f t="shared" si="25"/>
        <v>0.77539422680412362</v>
      </c>
      <c r="CC14" s="610"/>
      <c r="CD14" s="610">
        <f t="shared" si="26"/>
        <v>0.65909090909090906</v>
      </c>
      <c r="CE14" s="610">
        <f t="shared" si="27"/>
        <v>0</v>
      </c>
      <c r="CF14" s="610">
        <f t="shared" si="34"/>
        <v>0.10000000000000009</v>
      </c>
      <c r="CG14" s="610">
        <f t="shared" si="35"/>
        <v>1.4049999999999998</v>
      </c>
    </row>
    <row r="15" spans="2:85" ht="20.149999999999999" customHeight="1" x14ac:dyDescent="0.2">
      <c r="B15" s="31" t="s">
        <v>202</v>
      </c>
      <c r="C15" s="32" t="s">
        <v>206</v>
      </c>
      <c r="D15" s="265">
        <v>35.700000000000003</v>
      </c>
      <c r="E15" s="644">
        <f>0.5*0.0082</f>
        <v>4.1000000000000003E-3</v>
      </c>
      <c r="F15" s="264">
        <v>0.04</v>
      </c>
      <c r="G15" s="264">
        <v>15</v>
      </c>
      <c r="H15" s="267">
        <v>6.5000000000000002E-2</v>
      </c>
      <c r="I15" s="264">
        <v>6.6</v>
      </c>
      <c r="J15" s="264">
        <v>0.11</v>
      </c>
      <c r="K15" s="264">
        <v>1.4999999999999999E-2</v>
      </c>
      <c r="L15" s="642">
        <f>0.5*0.067</f>
        <v>3.3500000000000002E-2</v>
      </c>
      <c r="M15" s="263">
        <v>140</v>
      </c>
      <c r="N15" s="635">
        <f>0.5*20</f>
        <v>10</v>
      </c>
      <c r="O15" s="264">
        <v>24</v>
      </c>
      <c r="P15" s="264">
        <v>200</v>
      </c>
      <c r="Q15" s="264">
        <v>43</v>
      </c>
      <c r="R15" s="635">
        <f t="shared" si="28"/>
        <v>1.2500000000000001E-2</v>
      </c>
      <c r="S15" s="264">
        <v>1.3</v>
      </c>
      <c r="T15" s="264">
        <v>30</v>
      </c>
      <c r="U15" s="635">
        <f>0.5*0.6</f>
        <v>0.3</v>
      </c>
      <c r="V15" s="264">
        <v>9.4</v>
      </c>
      <c r="W15" s="264">
        <v>120</v>
      </c>
      <c r="X15" s="264">
        <v>0.14000000000000001</v>
      </c>
      <c r="Y15" s="264">
        <v>8.3000000000000007</v>
      </c>
      <c r="Z15" s="264">
        <v>6.8</v>
      </c>
      <c r="AA15" s="264">
        <v>72</v>
      </c>
      <c r="AB15" s="264">
        <v>4.0999999999999996</v>
      </c>
      <c r="AC15" s="264">
        <v>3.2</v>
      </c>
      <c r="AD15" s="264">
        <v>0.47</v>
      </c>
      <c r="AE15" s="264">
        <v>1</v>
      </c>
      <c r="AF15" s="264">
        <v>2.4</v>
      </c>
      <c r="AG15" s="635">
        <f t="shared" si="29"/>
        <v>6.0000000000000001E-3</v>
      </c>
      <c r="AH15" s="264">
        <v>4.4000000000000004</v>
      </c>
      <c r="AI15" s="264">
        <v>9.7000000000000003E-2</v>
      </c>
      <c r="AJ15" s="264">
        <v>0.11</v>
      </c>
      <c r="AK15" s="635">
        <f t="shared" si="30"/>
        <v>2.8500000000000001E-3</v>
      </c>
      <c r="AL15" s="639">
        <v>2.5000000000000001E-3</v>
      </c>
      <c r="AM15" s="265">
        <v>0.74</v>
      </c>
      <c r="AN15" s="639">
        <f t="shared" si="31"/>
        <v>7.5000000000000002E-4</v>
      </c>
      <c r="AO15" s="639">
        <f t="shared" si="32"/>
        <v>8.9999999999999993E-3</v>
      </c>
      <c r="AP15" s="264">
        <v>16</v>
      </c>
      <c r="AQ15" s="266">
        <v>0.56999999999999995</v>
      </c>
      <c r="AR15" s="644">
        <f t="shared" si="33"/>
        <v>2.6499999999999999E-2</v>
      </c>
      <c r="AS15" s="267">
        <v>0.69</v>
      </c>
      <c r="AT15" s="267">
        <v>0.73</v>
      </c>
      <c r="AU15" s="267">
        <v>0.53</v>
      </c>
      <c r="AV15" s="267">
        <v>1</v>
      </c>
      <c r="AW15" s="264">
        <v>1.2</v>
      </c>
      <c r="AX15" s="265">
        <v>1.5</v>
      </c>
      <c r="AY15" s="639">
        <v>2.4E-2</v>
      </c>
      <c r="AZ15" s="265">
        <v>3</v>
      </c>
      <c r="BA15" s="265">
        <v>1.7</v>
      </c>
      <c r="BB15" s="266"/>
      <c r="BC15" s="619">
        <f t="shared" si="3"/>
        <v>0.99216666666666653</v>
      </c>
      <c r="BD15" s="610">
        <f t="shared" si="4"/>
        <v>1.0141176470588236</v>
      </c>
      <c r="BF15" s="610">
        <f t="shared" si="5"/>
        <v>1.1549295774647888E-4</v>
      </c>
      <c r="BG15" s="610">
        <f t="shared" si="6"/>
        <v>6.4516129032258064E-4</v>
      </c>
      <c r="BH15" s="610">
        <f t="shared" si="7"/>
        <v>0.3125</v>
      </c>
      <c r="BI15" s="610">
        <f t="shared" si="8"/>
        <v>2.8260869565217392E-3</v>
      </c>
      <c r="BJ15" s="610">
        <f t="shared" si="9"/>
        <v>0.36666666666666664</v>
      </c>
      <c r="BK15" s="610">
        <f t="shared" si="10"/>
        <v>2.8205128205128207E-3</v>
      </c>
      <c r="BL15" s="610">
        <f t="shared" si="11"/>
        <v>1.2345679012345679E-3</v>
      </c>
      <c r="BM15" s="610">
        <f t="shared" si="12"/>
        <v>1.6750000000000001E-3</v>
      </c>
      <c r="BN15" s="563">
        <f t="shared" si="13"/>
        <v>313.26065424806905</v>
      </c>
      <c r="BO15" s="563">
        <f t="shared" si="14"/>
        <v>375.22283434493573</v>
      </c>
      <c r="BP15" s="611">
        <f t="shared" si="15"/>
        <v>0.83486564668954566</v>
      </c>
      <c r="BR15" s="564">
        <f t="shared" si="16"/>
        <v>20.625</v>
      </c>
      <c r="BS15" s="564">
        <f t="shared" si="17"/>
        <v>5.16E-2</v>
      </c>
      <c r="BT15" s="564">
        <f t="shared" si="18"/>
        <v>0.16250000000000001</v>
      </c>
      <c r="BU15" s="564">
        <f t="shared" si="19"/>
        <v>4.8000000000000007</v>
      </c>
      <c r="BV15" s="564">
        <f t="shared" si="20"/>
        <v>1.7</v>
      </c>
      <c r="BW15" s="564">
        <f t="shared" si="21"/>
        <v>9.1900000000000009E-2</v>
      </c>
      <c r="BX15" s="564">
        <f t="shared" si="0"/>
        <v>6.019999999999999E-2</v>
      </c>
      <c r="BY15" s="564">
        <f t="shared" si="22"/>
        <v>0.16559999999999997</v>
      </c>
      <c r="BZ15" s="564">
        <f t="shared" si="23"/>
        <v>2.1709999999999998E-3</v>
      </c>
      <c r="CA15" s="564">
        <f t="shared" si="24"/>
        <v>27.658971000000001</v>
      </c>
      <c r="CB15" s="611">
        <f t="shared" si="25"/>
        <v>0.77476109243697477</v>
      </c>
      <c r="CC15" s="610"/>
      <c r="CD15" s="610">
        <f t="shared" si="26"/>
        <v>0.63829787234042545</v>
      </c>
      <c r="CE15" s="610">
        <f t="shared" si="27"/>
        <v>0</v>
      </c>
      <c r="CF15" s="610">
        <f t="shared" si="34"/>
        <v>0.19999999999999996</v>
      </c>
      <c r="CG15" s="610">
        <f t="shared" si="35"/>
        <v>1.524</v>
      </c>
    </row>
    <row r="16" spans="2:85" ht="20.149999999999999" customHeight="1" x14ac:dyDescent="0.2">
      <c r="B16" s="31" t="s">
        <v>202</v>
      </c>
      <c r="C16" s="32" t="s">
        <v>207</v>
      </c>
      <c r="D16" s="265">
        <v>38.9</v>
      </c>
      <c r="E16" s="644">
        <f>0.5*0.0082</f>
        <v>4.1000000000000003E-3</v>
      </c>
      <c r="F16" s="264">
        <v>3.3000000000000002E-2</v>
      </c>
      <c r="G16" s="264">
        <v>19</v>
      </c>
      <c r="H16" s="267">
        <v>7.3999999999999996E-2</v>
      </c>
      <c r="I16" s="264">
        <v>9.9</v>
      </c>
      <c r="J16" s="264">
        <v>0.2</v>
      </c>
      <c r="K16" s="264">
        <v>2.9000000000000001E-2</v>
      </c>
      <c r="L16" s="266">
        <v>0.1</v>
      </c>
      <c r="M16" s="263">
        <v>130</v>
      </c>
      <c r="N16" s="635">
        <f>0.5*20</f>
        <v>10</v>
      </c>
      <c r="O16" s="264">
        <v>21</v>
      </c>
      <c r="P16" s="264">
        <v>360</v>
      </c>
      <c r="Q16" s="264">
        <v>35</v>
      </c>
      <c r="R16" s="635">
        <f t="shared" si="28"/>
        <v>1.2500000000000001E-2</v>
      </c>
      <c r="S16" s="264">
        <v>2</v>
      </c>
      <c r="T16" s="264">
        <v>38</v>
      </c>
      <c r="U16" s="635">
        <f>0.5*0.6</f>
        <v>0.3</v>
      </c>
      <c r="V16" s="264">
        <v>8.5</v>
      </c>
      <c r="W16" s="264">
        <v>100</v>
      </c>
      <c r="X16" s="264">
        <v>0.16</v>
      </c>
      <c r="Y16" s="264">
        <v>11</v>
      </c>
      <c r="Z16" s="264">
        <v>9</v>
      </c>
      <c r="AA16" s="264">
        <v>55</v>
      </c>
      <c r="AB16" s="264">
        <v>4.3</v>
      </c>
      <c r="AC16" s="264">
        <v>3.7</v>
      </c>
      <c r="AD16" s="264">
        <v>0.54</v>
      </c>
      <c r="AE16" s="264">
        <v>0.94</v>
      </c>
      <c r="AF16" s="264">
        <v>1.9</v>
      </c>
      <c r="AG16" s="635">
        <f t="shared" si="29"/>
        <v>6.0000000000000001E-3</v>
      </c>
      <c r="AH16" s="264">
        <v>8.4</v>
      </c>
      <c r="AI16" s="264">
        <v>9.9000000000000005E-2</v>
      </c>
      <c r="AJ16" s="264">
        <v>0.11</v>
      </c>
      <c r="AK16" s="635">
        <f t="shared" si="30"/>
        <v>2.8500000000000001E-3</v>
      </c>
      <c r="AL16" s="639">
        <f>0.5*0.0018</f>
        <v>8.9999999999999998E-4</v>
      </c>
      <c r="AM16" s="265">
        <v>0.22</v>
      </c>
      <c r="AN16" s="639">
        <f t="shared" si="31"/>
        <v>7.5000000000000002E-4</v>
      </c>
      <c r="AO16" s="639">
        <f t="shared" si="32"/>
        <v>8.9999999999999993E-3</v>
      </c>
      <c r="AP16" s="264">
        <v>16</v>
      </c>
      <c r="AQ16" s="266">
        <v>0.53</v>
      </c>
      <c r="AR16" s="644">
        <f t="shared" si="33"/>
        <v>2.6499999999999999E-2</v>
      </c>
      <c r="AS16" s="267">
        <v>0.56000000000000005</v>
      </c>
      <c r="AT16" s="267">
        <v>0.62</v>
      </c>
      <c r="AU16" s="267">
        <v>0.49</v>
      </c>
      <c r="AV16" s="267">
        <v>0.92</v>
      </c>
      <c r="AW16" s="264">
        <v>1.1000000000000001</v>
      </c>
      <c r="AX16" s="265">
        <v>1.2</v>
      </c>
      <c r="AY16" s="639">
        <f>0.5*0.01</f>
        <v>5.0000000000000001E-3</v>
      </c>
      <c r="AZ16" s="265">
        <v>2.6</v>
      </c>
      <c r="BA16" s="265">
        <v>1.4</v>
      </c>
      <c r="BB16" s="266"/>
      <c r="BC16" s="619">
        <f t="shared" si="3"/>
        <v>1.006346153846154</v>
      </c>
      <c r="BD16" s="610">
        <f t="shared" si="4"/>
        <v>0.98928571428571421</v>
      </c>
      <c r="BF16" s="610">
        <f t="shared" si="5"/>
        <v>1.1549295774647888E-4</v>
      </c>
      <c r="BG16" s="610">
        <f t="shared" si="6"/>
        <v>5.3225806451612906E-4</v>
      </c>
      <c r="BH16" s="610">
        <f t="shared" si="7"/>
        <v>0.39583333333333331</v>
      </c>
      <c r="BI16" s="610">
        <f t="shared" si="8"/>
        <v>3.217391304347826E-3</v>
      </c>
      <c r="BJ16" s="610">
        <f t="shared" si="9"/>
        <v>0.55000000000000004</v>
      </c>
      <c r="BK16" s="610">
        <f t="shared" si="10"/>
        <v>5.1282051282051282E-3</v>
      </c>
      <c r="BL16" s="610">
        <f t="shared" si="11"/>
        <v>2.3868312757201649E-3</v>
      </c>
      <c r="BM16" s="610">
        <f t="shared" si="12"/>
        <v>5.0000000000000001E-3</v>
      </c>
      <c r="BN16" s="563">
        <f t="shared" si="13"/>
        <v>396.48108435559595</v>
      </c>
      <c r="BO16" s="563">
        <f t="shared" si="14"/>
        <v>565.73242770827312</v>
      </c>
      <c r="BP16" s="611">
        <f t="shared" si="15"/>
        <v>0.70082792666084592</v>
      </c>
      <c r="BR16" s="564">
        <f t="shared" si="16"/>
        <v>26.125</v>
      </c>
      <c r="BS16" s="564">
        <f t="shared" si="17"/>
        <v>4.2570000000000004E-2</v>
      </c>
      <c r="BT16" s="564">
        <f t="shared" si="18"/>
        <v>0.185</v>
      </c>
      <c r="BU16" s="564">
        <f t="shared" si="19"/>
        <v>4.16</v>
      </c>
      <c r="BV16" s="564">
        <f t="shared" si="20"/>
        <v>1.4</v>
      </c>
      <c r="BW16" s="564">
        <f t="shared" si="21"/>
        <v>9.1900000000000009E-2</v>
      </c>
      <c r="BX16" s="564">
        <f t="shared" si="0"/>
        <v>4.9000000000000002E-2</v>
      </c>
      <c r="BY16" s="564">
        <f t="shared" si="22"/>
        <v>0.13799999999999998</v>
      </c>
      <c r="BZ16" s="564">
        <f t="shared" si="23"/>
        <v>3.3400000000000001E-3</v>
      </c>
      <c r="CA16" s="564">
        <f t="shared" si="24"/>
        <v>32.194809999999997</v>
      </c>
      <c r="CB16" s="611">
        <f t="shared" si="25"/>
        <v>0.82763007712082259</v>
      </c>
      <c r="CC16" s="610"/>
      <c r="CD16" s="610">
        <f t="shared" si="26"/>
        <v>0.65</v>
      </c>
      <c r="CE16" s="610">
        <f t="shared" si="27"/>
        <v>0</v>
      </c>
      <c r="CF16" s="610">
        <f t="shared" si="34"/>
        <v>0.18000000000000005</v>
      </c>
      <c r="CG16" s="610">
        <f t="shared" si="35"/>
        <v>1.2049999999999998</v>
      </c>
    </row>
    <row r="17" spans="2:85" ht="20.149999999999999" customHeight="1" x14ac:dyDescent="0.2">
      <c r="B17" s="31" t="s">
        <v>202</v>
      </c>
      <c r="C17" s="32" t="s">
        <v>208</v>
      </c>
      <c r="D17" s="265">
        <v>32.9</v>
      </c>
      <c r="E17" s="644">
        <f>0.5*0.0082</f>
        <v>4.1000000000000003E-3</v>
      </c>
      <c r="F17" s="264">
        <v>1.4E-2</v>
      </c>
      <c r="G17" s="264">
        <v>18</v>
      </c>
      <c r="H17" s="267">
        <v>7.6999999999999999E-2</v>
      </c>
      <c r="I17" s="264">
        <v>9.1</v>
      </c>
      <c r="J17" s="264">
        <v>0.1</v>
      </c>
      <c r="K17" s="264">
        <v>1.9E-2</v>
      </c>
      <c r="L17" s="266">
        <v>7.1999999999999995E-2</v>
      </c>
      <c r="M17" s="263">
        <v>120</v>
      </c>
      <c r="N17" s="635">
        <f>0.5*20</f>
        <v>10</v>
      </c>
      <c r="O17" s="264">
        <v>51</v>
      </c>
      <c r="P17" s="264">
        <v>170</v>
      </c>
      <c r="Q17" s="635">
        <f>0.5*33</f>
        <v>16.5</v>
      </c>
      <c r="R17" s="635">
        <f t="shared" si="28"/>
        <v>1.2500000000000001E-2</v>
      </c>
      <c r="S17" s="264">
        <v>1.7</v>
      </c>
      <c r="T17" s="264">
        <v>21</v>
      </c>
      <c r="U17" s="264">
        <v>0.86</v>
      </c>
      <c r="V17" s="264">
        <v>5.2</v>
      </c>
      <c r="W17" s="264">
        <v>82</v>
      </c>
      <c r="X17" s="264">
        <v>0.11</v>
      </c>
      <c r="Y17" s="264">
        <v>6.1</v>
      </c>
      <c r="Z17" s="264">
        <v>4.5999999999999996</v>
      </c>
      <c r="AA17" s="264">
        <v>38</v>
      </c>
      <c r="AB17" s="264">
        <v>3.2</v>
      </c>
      <c r="AC17" s="264">
        <v>2.7</v>
      </c>
      <c r="AD17" s="264">
        <v>0.34</v>
      </c>
      <c r="AE17" s="264">
        <v>0.63</v>
      </c>
      <c r="AF17" s="264">
        <v>0.85</v>
      </c>
      <c r="AG17" s="635">
        <f t="shared" si="29"/>
        <v>6.0000000000000001E-3</v>
      </c>
      <c r="AH17" s="264">
        <v>5.3</v>
      </c>
      <c r="AI17" s="264">
        <v>5.3999999999999999E-2</v>
      </c>
      <c r="AJ17" s="635">
        <f>0.5*0.092</f>
        <v>4.5999999999999999E-2</v>
      </c>
      <c r="AK17" s="635">
        <f t="shared" si="30"/>
        <v>2.8500000000000001E-3</v>
      </c>
      <c r="AL17" s="265">
        <v>2E-3</v>
      </c>
      <c r="AM17" s="265">
        <v>0.11</v>
      </c>
      <c r="AN17" s="639">
        <f t="shared" si="31"/>
        <v>7.5000000000000002E-4</v>
      </c>
      <c r="AO17" s="639">
        <f t="shared" si="32"/>
        <v>8.9999999999999993E-3</v>
      </c>
      <c r="AP17" s="264">
        <v>10</v>
      </c>
      <c r="AQ17" s="266">
        <v>0.38</v>
      </c>
      <c r="AR17" s="644">
        <f t="shared" si="33"/>
        <v>2.6499999999999999E-2</v>
      </c>
      <c r="AS17" s="671">
        <f>0.5*0.32</f>
        <v>0.16</v>
      </c>
      <c r="AT17" s="267">
        <v>0.42</v>
      </c>
      <c r="AU17" s="267">
        <v>0.33</v>
      </c>
      <c r="AV17" s="267">
        <v>0.66</v>
      </c>
      <c r="AW17" s="264">
        <v>0.64</v>
      </c>
      <c r="AX17" s="265">
        <v>0.84</v>
      </c>
      <c r="AY17" s="639">
        <f>0.5*0.01</f>
        <v>5.0000000000000001E-3</v>
      </c>
      <c r="AZ17" s="265">
        <v>1.4</v>
      </c>
      <c r="BA17" s="265">
        <v>0.82</v>
      </c>
      <c r="BB17" s="266"/>
      <c r="BC17" s="619">
        <f t="shared" si="3"/>
        <v>1.1403571428571431</v>
      </c>
      <c r="BD17" s="610">
        <f t="shared" si="4"/>
        <v>1.0060975609756095</v>
      </c>
      <c r="BF17" s="610">
        <f t="shared" si="5"/>
        <v>1.1549295774647888E-4</v>
      </c>
      <c r="BG17" s="610">
        <f t="shared" si="6"/>
        <v>2.2580645161290324E-4</v>
      </c>
      <c r="BH17" s="610">
        <f t="shared" si="7"/>
        <v>0.375</v>
      </c>
      <c r="BI17" s="610">
        <f t="shared" si="8"/>
        <v>3.3478260869565218E-3</v>
      </c>
      <c r="BJ17" s="610">
        <f t="shared" si="9"/>
        <v>0.50555555555555554</v>
      </c>
      <c r="BK17" s="610">
        <f t="shared" si="10"/>
        <v>2.5641025641025641E-3</v>
      </c>
      <c r="BL17" s="610">
        <f t="shared" si="11"/>
        <v>1.5637860082304525E-3</v>
      </c>
      <c r="BM17" s="610">
        <f t="shared" si="12"/>
        <v>3.5999999999999999E-3</v>
      </c>
      <c r="BN17" s="563">
        <f t="shared" si="13"/>
        <v>375.34129940935941</v>
      </c>
      <c r="BO17" s="563">
        <f t="shared" si="14"/>
        <v>516.63127021484513</v>
      </c>
      <c r="BP17" s="611">
        <f t="shared" si="15"/>
        <v>0.72651680424468079</v>
      </c>
      <c r="BR17" s="564">
        <f t="shared" si="16"/>
        <v>24.75</v>
      </c>
      <c r="BS17" s="564">
        <f t="shared" si="17"/>
        <v>1.806E-2</v>
      </c>
      <c r="BT17" s="564">
        <f t="shared" si="18"/>
        <v>0.1925</v>
      </c>
      <c r="BU17" s="564">
        <f t="shared" si="19"/>
        <v>2.2399999999999998</v>
      </c>
      <c r="BV17" s="564">
        <f t="shared" si="20"/>
        <v>0.82</v>
      </c>
      <c r="BW17" s="564">
        <f t="shared" si="21"/>
        <v>9.1900000000000009E-2</v>
      </c>
      <c r="BX17" s="564">
        <f t="shared" si="0"/>
        <v>2.3099999999999999E-2</v>
      </c>
      <c r="BY17" s="564">
        <f t="shared" si="22"/>
        <v>0.11316</v>
      </c>
      <c r="BZ17" s="564">
        <f t="shared" si="23"/>
        <v>2.8389999999999995E-3</v>
      </c>
      <c r="CA17" s="564">
        <f t="shared" si="24"/>
        <v>28.251558999999997</v>
      </c>
      <c r="CB17" s="611">
        <f t="shared" si="25"/>
        <v>0.85870999999999997</v>
      </c>
      <c r="CC17" s="610"/>
      <c r="CD17" s="610">
        <f t="shared" si="26"/>
        <v>0.63063063063063063</v>
      </c>
      <c r="CE17" s="610">
        <f t="shared" si="27"/>
        <v>0</v>
      </c>
      <c r="CF17" s="610">
        <f t="shared" si="34"/>
        <v>0</v>
      </c>
      <c r="CG17" s="610">
        <f t="shared" si="35"/>
        <v>0.82499999999999984</v>
      </c>
    </row>
    <row r="18" spans="2:85" ht="20.149999999999999" customHeight="1" thickBot="1" x14ac:dyDescent="0.25">
      <c r="B18" s="39" t="s">
        <v>202</v>
      </c>
      <c r="C18" s="45" t="s">
        <v>209</v>
      </c>
      <c r="D18" s="277">
        <v>24</v>
      </c>
      <c r="E18" s="645">
        <f>0.5*0.0082</f>
        <v>4.1000000000000003E-3</v>
      </c>
      <c r="F18" s="274">
        <v>2.3E-2</v>
      </c>
      <c r="G18" s="274">
        <v>13</v>
      </c>
      <c r="H18" s="279">
        <v>5.6000000000000001E-2</v>
      </c>
      <c r="I18" s="274">
        <v>4.8</v>
      </c>
      <c r="J18" s="274">
        <v>7.2999999999999995E-2</v>
      </c>
      <c r="K18" s="274">
        <v>1.2999999999999999E-2</v>
      </c>
      <c r="L18" s="278">
        <v>0.12</v>
      </c>
      <c r="M18" s="273">
        <v>100</v>
      </c>
      <c r="N18" s="274">
        <v>25</v>
      </c>
      <c r="O18" s="274">
        <v>25</v>
      </c>
      <c r="P18" s="274">
        <v>130</v>
      </c>
      <c r="Q18" s="636">
        <f>0.5*33</f>
        <v>16.5</v>
      </c>
      <c r="R18" s="636">
        <f t="shared" si="28"/>
        <v>1.2500000000000001E-2</v>
      </c>
      <c r="S18" s="274">
        <f>0.5*1.1</f>
        <v>0.55000000000000004</v>
      </c>
      <c r="T18" s="274">
        <v>17</v>
      </c>
      <c r="U18" s="274">
        <v>1.7</v>
      </c>
      <c r="V18" s="274">
        <v>6.2</v>
      </c>
      <c r="W18" s="274">
        <v>91</v>
      </c>
      <c r="X18" s="274">
        <v>0.08</v>
      </c>
      <c r="Y18" s="274">
        <v>4.7</v>
      </c>
      <c r="Z18" s="274">
        <v>5</v>
      </c>
      <c r="AA18" s="274">
        <v>25</v>
      </c>
      <c r="AB18" s="274">
        <v>3.2</v>
      </c>
      <c r="AC18" s="274">
        <v>2.7</v>
      </c>
      <c r="AD18" s="274">
        <v>0.37</v>
      </c>
      <c r="AE18" s="274">
        <v>0.42</v>
      </c>
      <c r="AF18" s="274">
        <v>1.1000000000000001</v>
      </c>
      <c r="AG18" s="636">
        <f t="shared" si="29"/>
        <v>6.0000000000000001E-3</v>
      </c>
      <c r="AH18" s="274">
        <v>2.7</v>
      </c>
      <c r="AI18" s="274">
        <v>4.7E-2</v>
      </c>
      <c r="AJ18" s="636">
        <f>0.5*0.092</f>
        <v>4.5999999999999999E-2</v>
      </c>
      <c r="AK18" s="636">
        <f t="shared" si="30"/>
        <v>2.8500000000000001E-3</v>
      </c>
      <c r="AL18" s="640">
        <f>0.5*0.0018</f>
        <v>8.9999999999999998E-4</v>
      </c>
      <c r="AM18" s="277">
        <v>7.8E-2</v>
      </c>
      <c r="AN18" s="640">
        <f t="shared" si="31"/>
        <v>7.5000000000000002E-4</v>
      </c>
      <c r="AO18" s="640">
        <f t="shared" si="32"/>
        <v>8.9999999999999993E-3</v>
      </c>
      <c r="AP18" s="274">
        <v>12</v>
      </c>
      <c r="AQ18" s="278">
        <v>0.37</v>
      </c>
      <c r="AR18" s="645">
        <f t="shared" si="33"/>
        <v>2.6499999999999999E-2</v>
      </c>
      <c r="AS18" s="672">
        <f>0.5*0.32</f>
        <v>0.16</v>
      </c>
      <c r="AT18" s="279">
        <v>0.26</v>
      </c>
      <c r="AU18" s="279">
        <v>0.22</v>
      </c>
      <c r="AV18" s="279">
        <v>0.34</v>
      </c>
      <c r="AW18" s="274">
        <v>0.49</v>
      </c>
      <c r="AX18" s="277">
        <v>0.56999999999999995</v>
      </c>
      <c r="AY18" s="640">
        <f>0.5*0.01</f>
        <v>5.0000000000000001E-3</v>
      </c>
      <c r="AZ18" s="277">
        <v>0.82</v>
      </c>
      <c r="BA18" s="277">
        <v>0.72</v>
      </c>
      <c r="BB18" s="278"/>
      <c r="BC18" s="620">
        <f t="shared" si="3"/>
        <v>1.227439024390244</v>
      </c>
      <c r="BD18" s="617">
        <f t="shared" si="4"/>
        <v>1.0069444444444442</v>
      </c>
      <c r="BE18" s="616"/>
      <c r="BF18" s="617">
        <f t="shared" si="5"/>
        <v>1.1549295774647888E-4</v>
      </c>
      <c r="BG18" s="617">
        <f t="shared" si="6"/>
        <v>3.7096774193548385E-4</v>
      </c>
      <c r="BH18" s="617">
        <f t="shared" si="7"/>
        <v>0.27083333333333331</v>
      </c>
      <c r="BI18" s="617">
        <f t="shared" si="8"/>
        <v>2.4347826086956524E-3</v>
      </c>
      <c r="BJ18" s="617">
        <f t="shared" si="9"/>
        <v>0.26666666666666666</v>
      </c>
      <c r="BK18" s="617">
        <f t="shared" si="10"/>
        <v>1.8717948717948717E-3</v>
      </c>
      <c r="BL18" s="617">
        <f t="shared" si="11"/>
        <v>1.0699588477366254E-3</v>
      </c>
      <c r="BM18" s="617">
        <f t="shared" si="12"/>
        <v>6.0000000000000001E-3</v>
      </c>
      <c r="BN18" s="621">
        <f t="shared" si="13"/>
        <v>271.31979403301528</v>
      </c>
      <c r="BO18" s="621">
        <f t="shared" si="14"/>
        <v>278.04320299489387</v>
      </c>
      <c r="BP18" s="618">
        <f t="shared" si="15"/>
        <v>0.97581883358608101</v>
      </c>
      <c r="BQ18" s="616"/>
      <c r="BR18" s="615">
        <f t="shared" si="16"/>
        <v>17.875</v>
      </c>
      <c r="BS18" s="615">
        <f t="shared" si="17"/>
        <v>2.9670000000000002E-2</v>
      </c>
      <c r="BT18" s="615">
        <f t="shared" si="18"/>
        <v>0.14000000000000001</v>
      </c>
      <c r="BU18" s="615">
        <f t="shared" si="19"/>
        <v>1.3120000000000001</v>
      </c>
      <c r="BV18" s="615">
        <f t="shared" si="20"/>
        <v>0.72</v>
      </c>
      <c r="BW18" s="615">
        <f t="shared" si="21"/>
        <v>0.22975000000000001</v>
      </c>
      <c r="BX18" s="615">
        <f t="shared" si="0"/>
        <v>2.3099999999999999E-2</v>
      </c>
      <c r="BY18" s="615">
        <f t="shared" si="22"/>
        <v>0.12558</v>
      </c>
      <c r="BZ18" s="615">
        <f t="shared" si="23"/>
        <v>9.1850000000000005E-4</v>
      </c>
      <c r="CA18" s="615">
        <f t="shared" si="24"/>
        <v>20.456018499999999</v>
      </c>
      <c r="CB18" s="618">
        <f t="shared" si="25"/>
        <v>0.85233410416666666</v>
      </c>
      <c r="CC18" s="617"/>
      <c r="CD18" s="617">
        <f t="shared" si="26"/>
        <v>0.53246753246753242</v>
      </c>
      <c r="CE18" s="617">
        <f t="shared" si="27"/>
        <v>0</v>
      </c>
      <c r="CF18" s="617">
        <f t="shared" si="34"/>
        <v>0.14999999999999997</v>
      </c>
      <c r="CG18" s="617">
        <f t="shared" si="35"/>
        <v>0.57499999999999996</v>
      </c>
    </row>
    <row r="19" spans="2:85" ht="20.149999999999999" customHeight="1" x14ac:dyDescent="0.2">
      <c r="B19" s="31" t="s">
        <v>61</v>
      </c>
      <c r="C19" s="46" t="s">
        <v>92</v>
      </c>
      <c r="D19" s="285">
        <v>17.2</v>
      </c>
      <c r="E19" s="282" t="s">
        <v>225</v>
      </c>
      <c r="F19" s="283">
        <v>1.7000000000000001E-2</v>
      </c>
      <c r="G19" s="283">
        <v>8.8000000000000007</v>
      </c>
      <c r="H19" s="287">
        <v>0.05</v>
      </c>
      <c r="I19" s="283">
        <v>3.2</v>
      </c>
      <c r="J19" s="283">
        <v>6.5000000000000002E-2</v>
      </c>
      <c r="K19" s="283">
        <v>9.7000000000000003E-3</v>
      </c>
      <c r="L19" s="286" t="s">
        <v>459</v>
      </c>
      <c r="M19" s="282">
        <v>78</v>
      </c>
      <c r="N19" s="283" t="s">
        <v>460</v>
      </c>
      <c r="O19" s="283">
        <v>14</v>
      </c>
      <c r="P19" s="283">
        <v>89</v>
      </c>
      <c r="Q19" s="283" t="s">
        <v>468</v>
      </c>
      <c r="R19" s="283" t="s">
        <v>293</v>
      </c>
      <c r="S19" s="283" t="s">
        <v>291</v>
      </c>
      <c r="T19" s="283">
        <v>7.8</v>
      </c>
      <c r="U19" s="283" t="s">
        <v>461</v>
      </c>
      <c r="V19" s="283">
        <v>5.3</v>
      </c>
      <c r="W19" s="283">
        <v>88</v>
      </c>
      <c r="X19" s="283">
        <v>4.2000000000000003E-2</v>
      </c>
      <c r="Y19" s="283">
        <v>2.6</v>
      </c>
      <c r="Z19" s="283">
        <v>4.0999999999999996</v>
      </c>
      <c r="AA19" s="283">
        <v>18</v>
      </c>
      <c r="AB19" s="283">
        <v>2.1</v>
      </c>
      <c r="AC19" s="283">
        <v>1.6</v>
      </c>
      <c r="AD19" s="283">
        <v>0.18</v>
      </c>
      <c r="AE19" s="283">
        <v>0.24</v>
      </c>
      <c r="AF19" s="283">
        <v>0.61</v>
      </c>
      <c r="AG19" s="283" t="s">
        <v>298</v>
      </c>
      <c r="AH19" s="283">
        <v>3</v>
      </c>
      <c r="AI19" s="283">
        <v>3.5000000000000003E-2</v>
      </c>
      <c r="AJ19" s="283" t="s">
        <v>238</v>
      </c>
      <c r="AK19" s="283" t="s">
        <v>462</v>
      </c>
      <c r="AL19" s="285">
        <v>2.0999999999999999E-3</v>
      </c>
      <c r="AM19" s="285" t="s">
        <v>293</v>
      </c>
      <c r="AN19" s="285" t="s">
        <v>464</v>
      </c>
      <c r="AO19" s="285" t="s">
        <v>73</v>
      </c>
      <c r="AP19" s="283">
        <v>7.1</v>
      </c>
      <c r="AQ19" s="286">
        <v>0.23</v>
      </c>
      <c r="AR19" s="282" t="s">
        <v>465</v>
      </c>
      <c r="AS19" s="287" t="s">
        <v>466</v>
      </c>
      <c r="AT19" s="287">
        <v>0.24</v>
      </c>
      <c r="AU19" s="287">
        <v>0.18</v>
      </c>
      <c r="AV19" s="287">
        <v>0.27</v>
      </c>
      <c r="AW19" s="283">
        <v>0.36</v>
      </c>
      <c r="AX19" s="285">
        <v>0.52</v>
      </c>
      <c r="AY19" s="285">
        <v>1.6E-2</v>
      </c>
      <c r="AZ19" s="285">
        <v>0.69</v>
      </c>
      <c r="BA19" s="285">
        <v>0.63</v>
      </c>
      <c r="BB19" s="286"/>
      <c r="BC19" s="619">
        <f t="shared" si="3"/>
        <v>1</v>
      </c>
      <c r="BD19" s="610">
        <f t="shared" si="4"/>
        <v>0.99365079365079367</v>
      </c>
      <c r="BF19" s="610" t="e">
        <f t="shared" si="5"/>
        <v>#VALUE!</v>
      </c>
      <c r="BG19" s="610">
        <f t="shared" si="6"/>
        <v>2.741935483870968E-4</v>
      </c>
      <c r="BH19" s="610">
        <f t="shared" si="7"/>
        <v>0.18333333333333335</v>
      </c>
      <c r="BI19" s="610">
        <f t="shared" si="8"/>
        <v>2.1739130434782609E-3</v>
      </c>
      <c r="BJ19" s="610">
        <f t="shared" si="9"/>
        <v>0.17777777777777778</v>
      </c>
      <c r="BK19" s="610">
        <f t="shared" si="10"/>
        <v>1.6666666666666668E-3</v>
      </c>
      <c r="BL19" s="610">
        <f t="shared" si="11"/>
        <v>7.9835390946502056E-4</v>
      </c>
      <c r="BM19" s="610" t="e">
        <f t="shared" si="12"/>
        <v>#VALUE!</v>
      </c>
      <c r="BN19" s="563" t="e">
        <f t="shared" si="13"/>
        <v>#VALUE!</v>
      </c>
      <c r="BO19" s="563" t="e">
        <f t="shared" si="14"/>
        <v>#VALUE!</v>
      </c>
      <c r="BP19" s="611" t="e">
        <f t="shared" si="15"/>
        <v>#VALUE!</v>
      </c>
      <c r="BR19" s="564">
        <f t="shared" si="16"/>
        <v>12.100000000000001</v>
      </c>
      <c r="BS19" s="564">
        <f t="shared" si="17"/>
        <v>2.1930000000000002E-2</v>
      </c>
      <c r="BT19" s="564">
        <f t="shared" si="18"/>
        <v>0.125</v>
      </c>
      <c r="BU19" s="564">
        <f t="shared" si="19"/>
        <v>1.1039999999999999</v>
      </c>
      <c r="BV19" s="564">
        <f t="shared" si="20"/>
        <v>0.63</v>
      </c>
      <c r="BW19" s="564" t="e">
        <f t="shared" si="21"/>
        <v>#VALUE!</v>
      </c>
      <c r="BX19" s="564" t="e">
        <f t="shared" si="0"/>
        <v>#VALUE!</v>
      </c>
      <c r="BY19" s="564">
        <f t="shared" si="22"/>
        <v>0.12143999999999998</v>
      </c>
      <c r="BZ19" s="564" t="e">
        <f t="shared" si="23"/>
        <v>#VALUE!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0.52272727272727271</v>
      </c>
      <c r="CE19" s="610">
        <f t="shared" si="27"/>
        <v>0</v>
      </c>
      <c r="CF19" s="610">
        <f t="shared" si="34"/>
        <v>8.9999999999999969E-2</v>
      </c>
      <c r="CG19" s="610">
        <f t="shared" si="35"/>
        <v>0.53600000000000003</v>
      </c>
    </row>
    <row r="20" spans="2:85" ht="20.149999999999999" customHeight="1" x14ac:dyDescent="0.2">
      <c r="B20" s="21" t="s">
        <v>61</v>
      </c>
      <c r="C20" s="52" t="s">
        <v>210</v>
      </c>
      <c r="D20" s="301">
        <v>3.2</v>
      </c>
      <c r="E20" s="298" t="s">
        <v>225</v>
      </c>
      <c r="F20" s="299">
        <v>0.03</v>
      </c>
      <c r="G20" s="299">
        <v>0.66</v>
      </c>
      <c r="H20" s="303">
        <v>0.19</v>
      </c>
      <c r="I20" s="299">
        <v>0.14000000000000001</v>
      </c>
      <c r="J20" s="299">
        <v>2.5999999999999999E-2</v>
      </c>
      <c r="K20" s="299">
        <v>1.0999999999999999E-2</v>
      </c>
      <c r="L20" s="302" t="s">
        <v>459</v>
      </c>
      <c r="M20" s="298">
        <v>150</v>
      </c>
      <c r="N20" s="299">
        <v>72</v>
      </c>
      <c r="O20" s="299" t="s">
        <v>436</v>
      </c>
      <c r="P20" s="299">
        <v>29</v>
      </c>
      <c r="Q20" s="299">
        <v>280</v>
      </c>
      <c r="R20" s="299" t="s">
        <v>293</v>
      </c>
      <c r="S20" s="299" t="s">
        <v>291</v>
      </c>
      <c r="T20" s="299">
        <v>1</v>
      </c>
      <c r="U20" s="299" t="s">
        <v>461</v>
      </c>
      <c r="V20" s="299">
        <v>1.8</v>
      </c>
      <c r="W20" s="299">
        <v>13</v>
      </c>
      <c r="X20" s="299">
        <v>1.7999999999999999E-2</v>
      </c>
      <c r="Y20" s="299">
        <v>0.43</v>
      </c>
      <c r="Z20" s="299" t="s">
        <v>469</v>
      </c>
      <c r="AA20" s="299">
        <v>98</v>
      </c>
      <c r="AB20" s="299" t="s">
        <v>470</v>
      </c>
      <c r="AC20" s="299" t="s">
        <v>471</v>
      </c>
      <c r="AD20" s="299" t="s">
        <v>77</v>
      </c>
      <c r="AE20" s="299" t="s">
        <v>333</v>
      </c>
      <c r="AF20" s="299">
        <v>4.9000000000000002E-2</v>
      </c>
      <c r="AG20" s="299" t="s">
        <v>298</v>
      </c>
      <c r="AH20" s="299">
        <v>0.24</v>
      </c>
      <c r="AI20" s="299">
        <v>0.01</v>
      </c>
      <c r="AJ20" s="299" t="s">
        <v>238</v>
      </c>
      <c r="AK20" s="299" t="s">
        <v>462</v>
      </c>
      <c r="AL20" s="301" t="s">
        <v>463</v>
      </c>
      <c r="AM20" s="301" t="s">
        <v>293</v>
      </c>
      <c r="AN20" s="301" t="s">
        <v>464</v>
      </c>
      <c r="AO20" s="301" t="s">
        <v>73</v>
      </c>
      <c r="AP20" s="299">
        <v>0.13</v>
      </c>
      <c r="AQ20" s="302" t="s">
        <v>287</v>
      </c>
      <c r="AR20" s="298" t="s">
        <v>465</v>
      </c>
      <c r="AS20" s="303" t="s">
        <v>466</v>
      </c>
      <c r="AT20" s="303">
        <v>0.21</v>
      </c>
      <c r="AU20" s="303">
        <v>0.11</v>
      </c>
      <c r="AV20" s="303">
        <v>2.5999999999999999E-2</v>
      </c>
      <c r="AW20" s="299">
        <v>9.2999999999999999E-2</v>
      </c>
      <c r="AX20" s="301">
        <v>0.18</v>
      </c>
      <c r="AY20" s="301" t="s">
        <v>467</v>
      </c>
      <c r="AZ20" s="301">
        <v>0.35</v>
      </c>
      <c r="BA20" s="301">
        <v>0.25</v>
      </c>
      <c r="BB20" s="302"/>
      <c r="BC20" s="619">
        <f t="shared" si="3"/>
        <v>0.98857142857142877</v>
      </c>
      <c r="BD20" s="610">
        <f t="shared" si="4"/>
        <v>0.9880000000000001</v>
      </c>
      <c r="BF20" s="610" t="e">
        <f t="shared" si="5"/>
        <v>#VALUE!</v>
      </c>
      <c r="BG20" s="610">
        <f t="shared" si="6"/>
        <v>4.8387096774193548E-4</v>
      </c>
      <c r="BH20" s="610">
        <f t="shared" si="7"/>
        <v>1.375E-2</v>
      </c>
      <c r="BI20" s="610">
        <f t="shared" si="8"/>
        <v>8.2608695652173908E-3</v>
      </c>
      <c r="BJ20" s="610">
        <f t="shared" si="9"/>
        <v>7.7777777777777784E-3</v>
      </c>
      <c r="BK20" s="610">
        <f t="shared" si="10"/>
        <v>6.6666666666666664E-4</v>
      </c>
      <c r="BL20" s="610">
        <f t="shared" si="11"/>
        <v>9.0534979423868302E-4</v>
      </c>
      <c r="BM20" s="610" t="e">
        <f t="shared" si="12"/>
        <v>#VALUE!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0.90750000000000008</v>
      </c>
      <c r="BS20" s="564">
        <f t="shared" si="17"/>
        <v>3.8699999999999998E-2</v>
      </c>
      <c r="BT20" s="564">
        <f t="shared" si="18"/>
        <v>0.47499999999999998</v>
      </c>
      <c r="BU20" s="564">
        <f t="shared" si="19"/>
        <v>0.55999999999999994</v>
      </c>
      <c r="BV20" s="564">
        <f t="shared" si="20"/>
        <v>0.25</v>
      </c>
      <c r="BW20" s="564">
        <f t="shared" si="21"/>
        <v>0.66168000000000005</v>
      </c>
      <c r="BX20" s="564">
        <f t="shared" si="0"/>
        <v>0.39200000000000002</v>
      </c>
      <c r="BY20" s="564">
        <f t="shared" si="22"/>
        <v>1.7939999999999998E-2</v>
      </c>
      <c r="BZ20" s="564" t="e">
        <f t="shared" si="23"/>
        <v>#VALUE!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0.58333333333333337</v>
      </c>
      <c r="CE20" s="610">
        <f t="shared" si="27"/>
        <v>0</v>
      </c>
      <c r="CF20" s="610">
        <f t="shared" si="34"/>
        <v>6.7000000000000004E-2</v>
      </c>
      <c r="CG20" s="610" t="e">
        <f t="shared" si="35"/>
        <v>#VALUE!</v>
      </c>
    </row>
    <row r="21" spans="2:85" s="542" customFormat="1" ht="20.149999999999999" customHeight="1" x14ac:dyDescent="0.2">
      <c r="B21" s="538"/>
      <c r="C21" s="539" t="s">
        <v>591</v>
      </c>
      <c r="D21" s="548">
        <f>AVERAGE(D12:D18)</f>
        <v>27.800000000000004</v>
      </c>
      <c r="E21" s="549">
        <f t="shared" ref="E21:BB21" si="36">AVERAGE(E12:E18)</f>
        <v>4.8142857142857145E-3</v>
      </c>
      <c r="F21" s="549">
        <f t="shared" si="36"/>
        <v>4.7571428571428584E-2</v>
      </c>
      <c r="G21" s="548">
        <f t="shared" si="36"/>
        <v>12.642857142857142</v>
      </c>
      <c r="H21" s="549">
        <f t="shared" si="36"/>
        <v>6.9142857142857145E-2</v>
      </c>
      <c r="I21" s="548">
        <f t="shared" si="36"/>
        <v>5.6571428571428566</v>
      </c>
      <c r="J21" s="549">
        <f t="shared" si="36"/>
        <v>0.10571428571428569</v>
      </c>
      <c r="K21" s="549">
        <f t="shared" si="36"/>
        <v>1.9E-2</v>
      </c>
      <c r="L21" s="549">
        <f t="shared" si="36"/>
        <v>7.1999999999999995E-2</v>
      </c>
      <c r="M21" s="548">
        <f t="shared" si="36"/>
        <v>130</v>
      </c>
      <c r="N21" s="548">
        <f t="shared" si="36"/>
        <v>23.714285714285715</v>
      </c>
      <c r="O21" s="548">
        <f t="shared" si="36"/>
        <v>32.857142857142854</v>
      </c>
      <c r="P21" s="548">
        <f t="shared" si="36"/>
        <v>178.57142857142858</v>
      </c>
      <c r="Q21" s="548">
        <f t="shared" si="36"/>
        <v>42</v>
      </c>
      <c r="R21" s="548">
        <f t="shared" si="36"/>
        <v>1.2499999999999999E-2</v>
      </c>
      <c r="S21" s="548">
        <f t="shared" si="36"/>
        <v>2.5214285714285718</v>
      </c>
      <c r="T21" s="548">
        <f t="shared" si="36"/>
        <v>20.271428571428572</v>
      </c>
      <c r="U21" s="548">
        <f t="shared" si="36"/>
        <v>0.79428571428571426</v>
      </c>
      <c r="V21" s="548">
        <f t="shared" si="36"/>
        <v>7.8142857142857149</v>
      </c>
      <c r="W21" s="548">
        <f t="shared" si="36"/>
        <v>105.14285714285714</v>
      </c>
      <c r="X21" s="548">
        <f t="shared" si="36"/>
        <v>9.799999999999999E-2</v>
      </c>
      <c r="Y21" s="548">
        <f t="shared" si="36"/>
        <v>5.8142857142857149</v>
      </c>
      <c r="Z21" s="548">
        <f t="shared" si="36"/>
        <v>5.7857142857142856</v>
      </c>
      <c r="AA21" s="548">
        <f t="shared" si="36"/>
        <v>73.428571428571431</v>
      </c>
      <c r="AB21" s="548">
        <f t="shared" si="36"/>
        <v>2.9714285714285711</v>
      </c>
      <c r="AC21" s="549">
        <f t="shared" si="36"/>
        <v>2.5428571428571423</v>
      </c>
      <c r="AD21" s="549">
        <f t="shared" si="36"/>
        <v>0.35285714285714287</v>
      </c>
      <c r="AE21" s="549">
        <f t="shared" si="36"/>
        <v>0.79428571428571426</v>
      </c>
      <c r="AF21" s="549">
        <f t="shared" si="36"/>
        <v>1.5171428571428571</v>
      </c>
      <c r="AG21" s="549">
        <f t="shared" si="36"/>
        <v>5.9999999999999993E-3</v>
      </c>
      <c r="AH21" s="549">
        <f t="shared" si="36"/>
        <v>4.7</v>
      </c>
      <c r="AI21" s="549">
        <f t="shared" si="36"/>
        <v>8.0714285714285725E-2</v>
      </c>
      <c r="AJ21" s="549">
        <f t="shared" si="36"/>
        <v>9.9714285714285728E-2</v>
      </c>
      <c r="AK21" s="549">
        <f t="shared" si="36"/>
        <v>2.8500000000000005E-3</v>
      </c>
      <c r="AL21" s="549">
        <f t="shared" si="36"/>
        <v>1.2857142857142856E-3</v>
      </c>
      <c r="AM21" s="549">
        <f t="shared" si="36"/>
        <v>0.23435714285714287</v>
      </c>
      <c r="AN21" s="549">
        <f t="shared" si="36"/>
        <v>7.4999999999999991E-4</v>
      </c>
      <c r="AO21" s="549">
        <f t="shared" si="36"/>
        <v>8.9999999999999993E-3</v>
      </c>
      <c r="AP21" s="549">
        <f t="shared" si="36"/>
        <v>11.914285714285715</v>
      </c>
      <c r="AQ21" s="549">
        <f t="shared" si="36"/>
        <v>0.39999999999999997</v>
      </c>
      <c r="AR21" s="548">
        <f t="shared" si="36"/>
        <v>2.6499999999999999E-2</v>
      </c>
      <c r="AS21" s="548">
        <f t="shared" si="36"/>
        <v>0.48285714285714293</v>
      </c>
      <c r="AT21" s="548">
        <f t="shared" si="36"/>
        <v>0.54714285714285715</v>
      </c>
      <c r="AU21" s="548">
        <f t="shared" si="36"/>
        <v>0.41571428571428576</v>
      </c>
      <c r="AV21" s="548">
        <f t="shared" si="36"/>
        <v>0.76142857142857145</v>
      </c>
      <c r="AW21" s="548">
        <f t="shared" si="36"/>
        <v>0.8542857142857142</v>
      </c>
      <c r="AX21" s="548">
        <f t="shared" si="36"/>
        <v>1.0457142857142858</v>
      </c>
      <c r="AY21" s="548">
        <f t="shared" si="36"/>
        <v>7.7142857142857135E-3</v>
      </c>
      <c r="AZ21" s="548">
        <f t="shared" si="36"/>
        <v>2.16</v>
      </c>
      <c r="BA21" s="548">
        <f t="shared" si="36"/>
        <v>1.1485714285714288</v>
      </c>
      <c r="BB21" s="548" t="e">
        <f t="shared" si="36"/>
        <v>#DIV/0!</v>
      </c>
      <c r="CD21" s="691">
        <f>AVERAGE(CD12:CD18)</f>
        <v>0.64527597871062914</v>
      </c>
      <c r="CE21" s="691">
        <f>AVERAGE(CE12:CE18)</f>
        <v>0</v>
      </c>
      <c r="CF21" s="691">
        <f>AVERAGE(CF12:CF18)</f>
        <v>9.7142857142857128E-2</v>
      </c>
      <c r="CG21" s="691">
        <f>AVERAGE(CG12:CG18)</f>
        <v>1.0491428571428572</v>
      </c>
    </row>
    <row r="22" spans="2:85" s="542" customFormat="1" ht="18.75" customHeight="1" x14ac:dyDescent="0.2">
      <c r="B22" s="543"/>
      <c r="C22" s="543" t="s">
        <v>592</v>
      </c>
      <c r="D22" s="550">
        <f>AVERAGE(D7:D20)</f>
        <v>18.235714285714288</v>
      </c>
      <c r="E22" s="551">
        <f t="shared" ref="E22:BB22" si="37">AVERAGE(E7:E20)</f>
        <v>4.8142857142857145E-3</v>
      </c>
      <c r="F22" s="551">
        <f t="shared" si="37"/>
        <v>5.1500000000000004E-2</v>
      </c>
      <c r="G22" s="550">
        <f t="shared" si="37"/>
        <v>7.8328571428571427</v>
      </c>
      <c r="H22" s="551">
        <f t="shared" si="37"/>
        <v>0.1502857142857143</v>
      </c>
      <c r="I22" s="550">
        <f t="shared" si="37"/>
        <v>3.3192857142857144</v>
      </c>
      <c r="J22" s="551">
        <f t="shared" si="37"/>
        <v>8.9714285714285719E-2</v>
      </c>
      <c r="K22" s="551">
        <f t="shared" si="37"/>
        <v>2.1978571428571434E-2</v>
      </c>
      <c r="L22" s="551">
        <f t="shared" si="37"/>
        <v>7.1999999999999995E-2</v>
      </c>
      <c r="M22" s="550">
        <f t="shared" si="37"/>
        <v>191.5</v>
      </c>
      <c r="N22" s="550">
        <f t="shared" si="37"/>
        <v>29.555555555555557</v>
      </c>
      <c r="O22" s="550">
        <f t="shared" si="37"/>
        <v>32.777777777777779</v>
      </c>
      <c r="P22" s="550">
        <f t="shared" si="37"/>
        <v>129.5</v>
      </c>
      <c r="Q22" s="550">
        <f t="shared" si="37"/>
        <v>69.833333333333329</v>
      </c>
      <c r="R22" s="550">
        <f t="shared" si="37"/>
        <v>1.2499999999999999E-2</v>
      </c>
      <c r="S22" s="550">
        <f t="shared" si="37"/>
        <v>2.6687499999999997</v>
      </c>
      <c r="T22" s="550">
        <f t="shared" si="37"/>
        <v>14.035714285714286</v>
      </c>
      <c r="U22" s="550">
        <f t="shared" si="37"/>
        <v>1.02</v>
      </c>
      <c r="V22" s="550">
        <f t="shared" si="37"/>
        <v>5.4364285714285714</v>
      </c>
      <c r="W22" s="550">
        <f t="shared" si="37"/>
        <v>70.714285714285708</v>
      </c>
      <c r="X22" s="550">
        <f t="shared" si="37"/>
        <v>7.2461538461538466E-2</v>
      </c>
      <c r="Y22" s="550">
        <f t="shared" si="37"/>
        <v>4.0664285714285713</v>
      </c>
      <c r="Z22" s="550">
        <f t="shared" si="37"/>
        <v>4.8500000000000005</v>
      </c>
      <c r="AA22" s="550">
        <f t="shared" si="37"/>
        <v>59.828571428571429</v>
      </c>
      <c r="AB22" s="550">
        <f t="shared" si="37"/>
        <v>1.8846153846153846</v>
      </c>
      <c r="AC22" s="551">
        <f t="shared" si="37"/>
        <v>1.6615384615384614</v>
      </c>
      <c r="AD22" s="551">
        <f t="shared" si="37"/>
        <v>0.2640909090909091</v>
      </c>
      <c r="AE22" s="551">
        <f t="shared" si="37"/>
        <v>0.60115384615384615</v>
      </c>
      <c r="AF22" s="551">
        <f t="shared" si="37"/>
        <v>1.2127857142857141</v>
      </c>
      <c r="AG22" s="551">
        <f t="shared" si="37"/>
        <v>5.9999999999999993E-3</v>
      </c>
      <c r="AH22" s="551">
        <f t="shared" si="37"/>
        <v>3.43</v>
      </c>
      <c r="AI22" s="551">
        <f t="shared" si="37"/>
        <v>5.9357142857142865E-2</v>
      </c>
      <c r="AJ22" s="551">
        <f t="shared" si="37"/>
        <v>9.9714285714285728E-2</v>
      </c>
      <c r="AK22" s="551">
        <f t="shared" si="37"/>
        <v>2.8500000000000005E-3</v>
      </c>
      <c r="AL22" s="551">
        <f t="shared" si="37"/>
        <v>1.3874999999999998E-3</v>
      </c>
      <c r="AM22" s="551">
        <f t="shared" si="37"/>
        <v>0.19587499999999999</v>
      </c>
      <c r="AN22" s="551">
        <f t="shared" si="37"/>
        <v>7.4999999999999991E-4</v>
      </c>
      <c r="AO22" s="551">
        <f t="shared" si="37"/>
        <v>8.9999999999999993E-3</v>
      </c>
      <c r="AP22" s="551">
        <f t="shared" si="37"/>
        <v>10.197142857142856</v>
      </c>
      <c r="AQ22" s="551">
        <f t="shared" si="37"/>
        <v>0.32408333333333333</v>
      </c>
      <c r="AR22" s="550">
        <f t="shared" si="37"/>
        <v>2.6499999999999999E-2</v>
      </c>
      <c r="AS22" s="550">
        <f t="shared" si="37"/>
        <v>0.48285714285714293</v>
      </c>
      <c r="AT22" s="550">
        <f t="shared" si="37"/>
        <v>0.49071428571428566</v>
      </c>
      <c r="AU22" s="550">
        <f t="shared" si="37"/>
        <v>0.37142857142857144</v>
      </c>
      <c r="AV22" s="550">
        <f t="shared" si="37"/>
        <v>0.5654285714285715</v>
      </c>
      <c r="AW22" s="550">
        <f t="shared" si="37"/>
        <v>0.63378571428571429</v>
      </c>
      <c r="AX22" s="550">
        <f t="shared" si="37"/>
        <v>0.72</v>
      </c>
      <c r="AY22" s="550">
        <f t="shared" si="37"/>
        <v>9.7777777777777793E-3</v>
      </c>
      <c r="AZ22" s="550">
        <f t="shared" si="37"/>
        <v>1.6400000000000003</v>
      </c>
      <c r="BA22" s="550">
        <f t="shared" si="37"/>
        <v>0.7964285714285716</v>
      </c>
      <c r="BB22" s="550" t="e">
        <f t="shared" si="37"/>
        <v>#DIV/0!</v>
      </c>
      <c r="CD22" s="691">
        <f>AVERAGE(CD7:CD20)</f>
        <v>0.67057261958419734</v>
      </c>
      <c r="CE22" s="691">
        <f>AVERAGE(CE7:CE20)</f>
        <v>0</v>
      </c>
      <c r="CF22" s="691">
        <f>AVERAGE(CF7:CF20)</f>
        <v>7.3357142857142857E-2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376"/>
      <c r="E23" s="260">
        <v>8.2000000000000007E-3</v>
      </c>
      <c r="F23" s="256">
        <v>7.0000000000000001E-3</v>
      </c>
      <c r="G23" s="256">
        <v>1.4E-2</v>
      </c>
      <c r="H23" s="260">
        <v>5.6000000000000001E-2</v>
      </c>
      <c r="I23" s="256">
        <v>3.5000000000000003E-2</v>
      </c>
      <c r="J23" s="256">
        <v>9.7000000000000003E-3</v>
      </c>
      <c r="K23" s="256">
        <v>5.0000000000000001E-3</v>
      </c>
      <c r="L23" s="259">
        <v>6.7000000000000004E-2</v>
      </c>
      <c r="M23" s="260">
        <v>9.6999999999999993</v>
      </c>
      <c r="N23" s="256">
        <v>20</v>
      </c>
      <c r="O23" s="256">
        <v>12</v>
      </c>
      <c r="P23" s="256">
        <v>13</v>
      </c>
      <c r="Q23" s="256">
        <v>33</v>
      </c>
      <c r="R23" s="256">
        <v>2.5000000000000001E-2</v>
      </c>
      <c r="S23" s="256">
        <v>1.1000000000000001</v>
      </c>
      <c r="T23" s="256">
        <v>8.6999999999999994E-3</v>
      </c>
      <c r="U23" s="256">
        <v>0.6</v>
      </c>
      <c r="V23" s="256">
        <v>0.1</v>
      </c>
      <c r="W23" s="256">
        <v>0.6</v>
      </c>
      <c r="X23" s="256">
        <v>0.01</v>
      </c>
      <c r="Y23" s="256">
        <v>6.7000000000000004E-2</v>
      </c>
      <c r="Z23" s="256">
        <v>0.48</v>
      </c>
      <c r="AA23" s="256">
        <v>5.3</v>
      </c>
      <c r="AB23" s="256">
        <v>2.7E-2</v>
      </c>
      <c r="AC23" s="256">
        <v>6.5000000000000002E-2</v>
      </c>
      <c r="AD23" s="256">
        <v>2.8000000000000001E-2</v>
      </c>
      <c r="AE23" s="256">
        <v>1.4E-2</v>
      </c>
      <c r="AF23" s="256">
        <v>0.01</v>
      </c>
      <c r="AG23" s="256">
        <v>1.2E-2</v>
      </c>
      <c r="AH23" s="256">
        <v>5.1999999999999998E-2</v>
      </c>
      <c r="AI23" s="256">
        <v>4.0000000000000001E-3</v>
      </c>
      <c r="AJ23" s="256">
        <v>9.1999999999999998E-2</v>
      </c>
      <c r="AK23" s="256">
        <v>5.7000000000000002E-3</v>
      </c>
      <c r="AL23" s="258">
        <v>1.8E-3</v>
      </c>
      <c r="AM23" s="377">
        <v>2.5000000000000001E-2</v>
      </c>
      <c r="AN23" s="377">
        <v>1.5E-3</v>
      </c>
      <c r="AO23" s="377">
        <v>1.7999999999999999E-2</v>
      </c>
      <c r="AP23" s="378">
        <v>3.2000000000000001E-2</v>
      </c>
      <c r="AQ23" s="379">
        <v>1.4999999999999999E-2</v>
      </c>
      <c r="AR23" s="255">
        <v>5.2999999999999999E-2</v>
      </c>
      <c r="AS23" s="260">
        <v>0.32</v>
      </c>
      <c r="AT23" s="260">
        <v>7.6999999999999999E-2</v>
      </c>
      <c r="AU23" s="260">
        <v>5.2999999999999999E-2</v>
      </c>
      <c r="AV23" s="260">
        <v>2.9E-4</v>
      </c>
      <c r="AW23" s="256">
        <v>5.2999999999999999E-2</v>
      </c>
      <c r="AX23" s="258">
        <v>3.6999999999999998E-2</v>
      </c>
      <c r="AY23" s="258">
        <v>0.01</v>
      </c>
      <c r="AZ23" s="258"/>
      <c r="BA23" s="258"/>
      <c r="BB23" s="259"/>
    </row>
    <row r="24" spans="2:85" ht="20.149999999999999" customHeight="1" x14ac:dyDescent="0.2">
      <c r="B24" s="692" t="s">
        <v>95</v>
      </c>
      <c r="C24" s="693"/>
      <c r="D24" s="380"/>
      <c r="E24" s="303">
        <v>2.7E-2</v>
      </c>
      <c r="F24" s="299">
        <v>2.3E-2</v>
      </c>
      <c r="G24" s="299">
        <v>4.8000000000000001E-2</v>
      </c>
      <c r="H24" s="303">
        <v>0.19</v>
      </c>
      <c r="I24" s="299">
        <v>0.12</v>
      </c>
      <c r="J24" s="299">
        <v>3.2000000000000001E-2</v>
      </c>
      <c r="K24" s="299">
        <v>1.7000000000000001E-2</v>
      </c>
      <c r="L24" s="302">
        <v>0.22</v>
      </c>
      <c r="M24" s="303">
        <v>32</v>
      </c>
      <c r="N24" s="299">
        <v>68</v>
      </c>
      <c r="O24" s="299">
        <v>40</v>
      </c>
      <c r="P24" s="299">
        <v>43</v>
      </c>
      <c r="Q24" s="299">
        <v>110</v>
      </c>
      <c r="R24" s="299">
        <v>8.5000000000000006E-2</v>
      </c>
      <c r="S24" s="299">
        <v>3.5</v>
      </c>
      <c r="T24" s="299">
        <v>2.8000000000000001E-2</v>
      </c>
      <c r="U24" s="299">
        <v>2</v>
      </c>
      <c r="V24" s="299">
        <v>0.33</v>
      </c>
      <c r="W24" s="299">
        <v>2</v>
      </c>
      <c r="X24" s="299">
        <v>3.5000000000000003E-2</v>
      </c>
      <c r="Y24" s="299">
        <v>0.22</v>
      </c>
      <c r="Z24" s="299">
        <v>1.6</v>
      </c>
      <c r="AA24" s="299">
        <v>18</v>
      </c>
      <c r="AB24" s="299">
        <v>8.6999999999999994E-2</v>
      </c>
      <c r="AC24" s="299">
        <v>0.22</v>
      </c>
      <c r="AD24" s="299">
        <v>9.7000000000000003E-2</v>
      </c>
      <c r="AE24" s="299">
        <v>4.7E-2</v>
      </c>
      <c r="AF24" s="299">
        <v>3.5000000000000003E-2</v>
      </c>
      <c r="AG24" s="299">
        <v>0.04</v>
      </c>
      <c r="AH24" s="299">
        <v>0.17</v>
      </c>
      <c r="AI24" s="299">
        <v>1.4E-2</v>
      </c>
      <c r="AJ24" s="299">
        <v>0.3</v>
      </c>
      <c r="AK24" s="299">
        <v>1.7999999999999999E-2</v>
      </c>
      <c r="AL24" s="301">
        <v>6.0000000000000001E-3</v>
      </c>
      <c r="AM24" s="301">
        <v>8.3000000000000004E-2</v>
      </c>
      <c r="AN24" s="301">
        <v>4.7999999999999996E-3</v>
      </c>
      <c r="AO24" s="301">
        <v>0.06</v>
      </c>
      <c r="AP24" s="299">
        <v>0.1</v>
      </c>
      <c r="AQ24" s="302">
        <v>4.8000000000000001E-2</v>
      </c>
      <c r="AR24" s="298">
        <v>0.17</v>
      </c>
      <c r="AS24" s="303">
        <v>1.1000000000000001</v>
      </c>
      <c r="AT24" s="303">
        <v>0.25</v>
      </c>
      <c r="AU24" s="303">
        <v>0.17</v>
      </c>
      <c r="AV24" s="303">
        <v>9.7000000000000005E-4</v>
      </c>
      <c r="AW24" s="299">
        <v>0.17</v>
      </c>
      <c r="AX24" s="301">
        <v>0.13</v>
      </c>
      <c r="AY24" s="301">
        <v>3.3000000000000002E-2</v>
      </c>
      <c r="AZ24" s="301"/>
      <c r="BA24" s="301"/>
      <c r="BB24" s="302"/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11" priority="6" stopIfTrue="1" operator="notBetween">
      <formula>0.8</formula>
      <formula>1.2</formula>
    </cfRule>
  </conditionalFormatting>
  <conditionalFormatting sqref="BC7:BD20">
    <cfRule type="cellIs" dxfId="10" priority="5" stopIfTrue="1" operator="notBetween">
      <formula>0.9</formula>
      <formula>1.1</formula>
    </cfRule>
  </conditionalFormatting>
  <conditionalFormatting sqref="BP7:BP20">
    <cfRule type="cellIs" dxfId="9" priority="3" stopIfTrue="1" operator="notBetween">
      <formula>0.8</formula>
      <formula>1.2</formula>
    </cfRule>
  </conditionalFormatting>
  <conditionalFormatting sqref="CF7:CF20">
    <cfRule type="cellIs" dxfId="8" priority="1" stopIfTrue="1" operator="lessThan">
      <formula>0</formula>
    </cfRule>
  </conditionalFormatting>
  <dataValidations disablePrompts="1" count="1">
    <dataValidation type="list" allowBlank="1" sqref="E3:F3">
      <formula1>$E$31:$E$37</formula1>
    </dataValidation>
  </dataValidations>
  <pageMargins left="0.70866141732283472" right="0.51181102362204722" top="1.41" bottom="0.74803149606299213" header="0.31496062992125984" footer="0.31496062992125984"/>
  <pageSetup paperSize="9" scale="2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507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642</v>
      </c>
      <c r="C7" s="26" t="s">
        <v>628</v>
      </c>
      <c r="D7" s="558">
        <v>4.4000000000000004</v>
      </c>
      <c r="E7" s="28" t="s">
        <v>67</v>
      </c>
      <c r="F7" s="589">
        <v>8.1000000000000003E-2</v>
      </c>
      <c r="G7" s="589">
        <v>1.1000000000000001</v>
      </c>
      <c r="H7" s="590">
        <v>0.11</v>
      </c>
      <c r="I7" s="589">
        <v>0.38</v>
      </c>
      <c r="J7" s="589">
        <v>8.5999999999999993E-2</v>
      </c>
      <c r="K7" s="589">
        <v>5.7999999999999996E-3</v>
      </c>
      <c r="L7" s="26" t="s">
        <v>541</v>
      </c>
      <c r="M7" s="603">
        <v>190</v>
      </c>
      <c r="N7" s="589">
        <v>14</v>
      </c>
      <c r="O7" s="589">
        <v>9</v>
      </c>
      <c r="P7" s="589">
        <v>51</v>
      </c>
      <c r="Q7" s="589">
        <v>74</v>
      </c>
      <c r="R7" s="29" t="s">
        <v>328</v>
      </c>
      <c r="S7" s="29" t="s">
        <v>236</v>
      </c>
      <c r="T7" s="589">
        <v>1.4</v>
      </c>
      <c r="U7" s="589">
        <v>3.2</v>
      </c>
      <c r="V7" s="589">
        <v>0.76</v>
      </c>
      <c r="W7" s="29" t="s">
        <v>646</v>
      </c>
      <c r="X7" s="589">
        <v>1.2E-2</v>
      </c>
      <c r="Y7" s="589">
        <v>0.47</v>
      </c>
      <c r="Z7" s="589">
        <v>2</v>
      </c>
      <c r="AA7" s="589">
        <v>28</v>
      </c>
      <c r="AB7" s="589">
        <v>5.1999999999999998E-2</v>
      </c>
      <c r="AC7" s="589">
        <v>6.7000000000000004E-2</v>
      </c>
      <c r="AD7" s="29" t="s">
        <v>333</v>
      </c>
      <c r="AE7" s="29" t="s">
        <v>66</v>
      </c>
      <c r="AF7" s="589">
        <v>6.5000000000000002E-2</v>
      </c>
      <c r="AG7" s="29" t="s">
        <v>335</v>
      </c>
      <c r="AH7" s="589">
        <v>4.3</v>
      </c>
      <c r="AI7" s="29" t="s">
        <v>298</v>
      </c>
      <c r="AJ7" s="589">
        <v>3.2000000000000002E-3</v>
      </c>
      <c r="AK7" s="29" t="s">
        <v>298</v>
      </c>
      <c r="AL7" s="27" t="s">
        <v>647</v>
      </c>
      <c r="AM7" s="558">
        <v>1.2999999999999999E-2</v>
      </c>
      <c r="AN7" s="27" t="s">
        <v>648</v>
      </c>
      <c r="AO7" s="27" t="s">
        <v>337</v>
      </c>
      <c r="AP7" s="589">
        <v>0.38</v>
      </c>
      <c r="AQ7" s="26"/>
      <c r="AR7" s="28" t="s">
        <v>552</v>
      </c>
      <c r="AS7" s="590">
        <v>0.24</v>
      </c>
      <c r="AT7" s="590">
        <v>0.27</v>
      </c>
      <c r="AU7" s="590">
        <v>0.14000000000000001</v>
      </c>
      <c r="AV7" s="590">
        <v>0.12</v>
      </c>
      <c r="AW7" s="589">
        <v>0.18</v>
      </c>
      <c r="AX7" s="558">
        <v>0.28999999999999998</v>
      </c>
      <c r="AY7" s="558">
        <v>2.1000000000000001E-2</v>
      </c>
      <c r="AZ7" s="558">
        <v>0.77</v>
      </c>
      <c r="BA7" s="558">
        <v>0.37</v>
      </c>
      <c r="BB7" s="604">
        <v>0.76</v>
      </c>
      <c r="BC7" s="619">
        <f>SUM(AR7:AV7)/AZ7</f>
        <v>1</v>
      </c>
      <c r="BD7" s="610">
        <f>(SUM(AW7:AY7)-AV7)/BA7</f>
        <v>1.0027027027027027</v>
      </c>
      <c r="BF7" s="610" t="e">
        <f>E7/35.5</f>
        <v>#VALUE!</v>
      </c>
      <c r="BG7" s="610">
        <f>F7/62</f>
        <v>1.3064516129032259E-3</v>
      </c>
      <c r="BH7" s="610">
        <f>G7/(96/2)</f>
        <v>2.2916666666666669E-2</v>
      </c>
      <c r="BI7" s="610">
        <f>H7/23</f>
        <v>4.7826086956521737E-3</v>
      </c>
      <c r="BJ7" s="610">
        <f>I7/18</f>
        <v>2.1111111111111112E-2</v>
      </c>
      <c r="BK7" s="610">
        <f>J7/39</f>
        <v>2.205128205128205E-3</v>
      </c>
      <c r="BL7" s="610">
        <f>K7/(24.3/2)</f>
        <v>4.7736625514403286E-4</v>
      </c>
      <c r="BM7" s="610" t="e">
        <f>L7/(40/2)</f>
        <v>#VALUE!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1.5125000000000002</v>
      </c>
      <c r="BS7" s="564">
        <f>1.29*F7</f>
        <v>0.10449</v>
      </c>
      <c r="BT7" s="564">
        <f>2.5*H7</f>
        <v>0.27500000000000002</v>
      </c>
      <c r="BU7" s="564">
        <f>1.6*AZ7</f>
        <v>1.2320000000000002</v>
      </c>
      <c r="BV7" s="564">
        <f>BA7</f>
        <v>0.37</v>
      </c>
      <c r="BW7" s="564">
        <f>9.19/1000*N7</f>
        <v>0.12866</v>
      </c>
      <c r="BX7" s="564">
        <f t="shared" ref="BX7:BX20" si="0">Q7/1000*1.4</f>
        <v>0.10359999999999998</v>
      </c>
      <c r="BY7" s="564" t="e">
        <f>W7/1000*1.38</f>
        <v>#VALUE!</v>
      </c>
      <c r="BZ7" s="564" t="e">
        <f>S7/1000*1.67</f>
        <v>#VALUE!</v>
      </c>
      <c r="CA7" s="564" t="e">
        <f>SUM(BR7:BZ7)</f>
        <v>#VALUE!</v>
      </c>
      <c r="CB7" s="611" t="e">
        <f>CA7/D7</f>
        <v>#VALUE!</v>
      </c>
      <c r="CD7" s="610">
        <f>AZ7/(AZ7+BA7)</f>
        <v>0.67543859649122806</v>
      </c>
      <c r="CE7" s="610">
        <f>BB7/AZ7</f>
        <v>0.98701298701298701</v>
      </c>
      <c r="CF7" s="610">
        <f t="shared" ref="CF7:CF12" si="1">IF(AW7-AV7&gt;0,AW7-AV7,0)</f>
        <v>0.06</v>
      </c>
      <c r="CG7" s="610">
        <f t="shared" ref="CG7:CG12" si="2">IF(AW7-AV7&gt;0,AX7+AY7,AW7+AX7+AY7-AV7)</f>
        <v>0.311</v>
      </c>
    </row>
    <row r="8" spans="2:85" ht="20.149999999999999" customHeight="1" x14ac:dyDescent="0.2">
      <c r="B8" s="31" t="s">
        <v>642</v>
      </c>
      <c r="C8" s="32" t="s">
        <v>629</v>
      </c>
      <c r="D8" s="559">
        <v>5.5</v>
      </c>
      <c r="E8" s="34" t="s">
        <v>67</v>
      </c>
      <c r="F8" s="591">
        <v>6.0999999999999999E-2</v>
      </c>
      <c r="G8" s="591">
        <v>0.84</v>
      </c>
      <c r="H8" s="36" t="s">
        <v>238</v>
      </c>
      <c r="I8" s="591">
        <v>0.33</v>
      </c>
      <c r="J8" s="591">
        <v>4.7E-2</v>
      </c>
      <c r="K8" s="35" t="s">
        <v>649</v>
      </c>
      <c r="L8" s="32" t="s">
        <v>541</v>
      </c>
      <c r="M8" s="599">
        <v>68</v>
      </c>
      <c r="N8" s="591">
        <v>32</v>
      </c>
      <c r="O8" s="591">
        <v>7</v>
      </c>
      <c r="P8" s="591">
        <v>64</v>
      </c>
      <c r="Q8" s="591">
        <v>120</v>
      </c>
      <c r="R8" s="35" t="s">
        <v>328</v>
      </c>
      <c r="S8" s="35" t="s">
        <v>236</v>
      </c>
      <c r="T8" s="591">
        <v>1.5</v>
      </c>
      <c r="U8" s="591">
        <v>5.5</v>
      </c>
      <c r="V8" s="591">
        <v>1.3</v>
      </c>
      <c r="W8" s="35" t="s">
        <v>646</v>
      </c>
      <c r="X8" s="591">
        <v>7.4999999999999997E-3</v>
      </c>
      <c r="Y8" s="591">
        <v>0.51</v>
      </c>
      <c r="Z8" s="591">
        <v>1.5</v>
      </c>
      <c r="AA8" s="591">
        <v>54</v>
      </c>
      <c r="AB8" s="591">
        <v>0.12</v>
      </c>
      <c r="AC8" s="35" t="s">
        <v>293</v>
      </c>
      <c r="AD8" s="591">
        <v>2.9000000000000001E-2</v>
      </c>
      <c r="AE8" s="591">
        <v>0.25</v>
      </c>
      <c r="AF8" s="591">
        <v>0.22</v>
      </c>
      <c r="AG8" s="35" t="s">
        <v>335</v>
      </c>
      <c r="AH8" s="591">
        <v>1.4</v>
      </c>
      <c r="AI8" s="35" t="s">
        <v>298</v>
      </c>
      <c r="AJ8" s="591">
        <v>1.4E-2</v>
      </c>
      <c r="AK8" s="35" t="s">
        <v>298</v>
      </c>
      <c r="AL8" s="33" t="s">
        <v>647</v>
      </c>
      <c r="AM8" s="33" t="s">
        <v>298</v>
      </c>
      <c r="AN8" s="33" t="s">
        <v>648</v>
      </c>
      <c r="AO8" s="33" t="s">
        <v>337</v>
      </c>
      <c r="AP8" s="591">
        <v>1</v>
      </c>
      <c r="AQ8" s="32"/>
      <c r="AR8" s="34" t="s">
        <v>552</v>
      </c>
      <c r="AS8" s="592">
        <v>0.51</v>
      </c>
      <c r="AT8" s="592">
        <v>0.6</v>
      </c>
      <c r="AU8" s="592">
        <v>0.4</v>
      </c>
      <c r="AV8" s="592">
        <v>0.43</v>
      </c>
      <c r="AW8" s="591">
        <v>0.43</v>
      </c>
      <c r="AX8" s="559">
        <v>0.39</v>
      </c>
      <c r="AY8" s="33" t="s">
        <v>285</v>
      </c>
      <c r="AZ8" s="559">
        <v>1.9</v>
      </c>
      <c r="BA8" s="559">
        <v>0.39</v>
      </c>
      <c r="BB8" s="605">
        <v>1.8</v>
      </c>
      <c r="BC8" s="619">
        <f t="shared" ref="BC8:BC20" si="3">SUM(AR8:AV8)/AZ8</f>
        <v>1.0210526315789472</v>
      </c>
      <c r="BD8" s="610">
        <f t="shared" ref="BD8:BD20" si="4">(SUM(AW8:AY8)-AV8)/BA8</f>
        <v>1.0000000000000002</v>
      </c>
      <c r="BF8" s="610" t="e">
        <f t="shared" ref="BF8:BF20" si="5">E8/35.5</f>
        <v>#VALUE!</v>
      </c>
      <c r="BG8" s="610">
        <f t="shared" ref="BG8:BG20" si="6">F8/62</f>
        <v>9.8387096774193539E-4</v>
      </c>
      <c r="BH8" s="610">
        <f t="shared" ref="BH8:BH20" si="7">G8/(96/2)</f>
        <v>1.7499999999999998E-2</v>
      </c>
      <c r="BI8" s="610" t="e">
        <f t="shared" ref="BI8:BI20" si="8">H8/23</f>
        <v>#VALUE!</v>
      </c>
      <c r="BJ8" s="610">
        <f t="shared" ref="BJ8:BJ20" si="9">I8/18</f>
        <v>1.8333333333333333E-2</v>
      </c>
      <c r="BK8" s="610">
        <f t="shared" ref="BK8:BK20" si="10">J8/39</f>
        <v>1.2051282051282052E-3</v>
      </c>
      <c r="BL8" s="610" t="e">
        <f t="shared" ref="BL8:BL20" si="11">K8/(24.3/2)</f>
        <v>#VALUE!</v>
      </c>
      <c r="BM8" s="610" t="e">
        <f t="shared" ref="BM8:BM20" si="12">L8/(40/2)</f>
        <v>#VALUE!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1.155</v>
      </c>
      <c r="BS8" s="564">
        <f t="shared" ref="BS8:BS20" si="17">1.29*F8</f>
        <v>7.8689999999999996E-2</v>
      </c>
      <c r="BT8" s="564" t="e">
        <f t="shared" ref="BT8:BT20" si="18">2.5*H8</f>
        <v>#VALUE!</v>
      </c>
      <c r="BU8" s="564">
        <f t="shared" ref="BU8:BU20" si="19">1.6*AZ8</f>
        <v>3.04</v>
      </c>
      <c r="BV8" s="564">
        <f t="shared" ref="BV8:BV20" si="20">BA8</f>
        <v>0.39</v>
      </c>
      <c r="BW8" s="564">
        <f t="shared" ref="BW8:BW20" si="21">9.19/1000*N8</f>
        <v>0.29408000000000001</v>
      </c>
      <c r="BX8" s="564">
        <f t="shared" si="0"/>
        <v>0.16799999999999998</v>
      </c>
      <c r="BY8" s="564" t="e">
        <f t="shared" ref="BY8:BY20" si="22">W8/1000*1.38</f>
        <v>#VALUE!</v>
      </c>
      <c r="BZ8" s="564" t="e">
        <f t="shared" ref="BZ8:BZ20" si="23">S8/1000*1.67</f>
        <v>#VALUE!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0.82969432314410474</v>
      </c>
      <c r="CE8" s="610">
        <f t="shared" ref="CE8:CE20" si="27">BB8/AZ8</f>
        <v>0.94736842105263164</v>
      </c>
      <c r="CF8" s="610">
        <f t="shared" si="1"/>
        <v>0</v>
      </c>
      <c r="CG8" s="610" t="e">
        <f t="shared" si="2"/>
        <v>#VALUE!</v>
      </c>
    </row>
    <row r="9" spans="2:85" ht="20.149999999999999" customHeight="1" x14ac:dyDescent="0.2">
      <c r="B9" s="31" t="s">
        <v>642</v>
      </c>
      <c r="C9" s="37" t="s">
        <v>630</v>
      </c>
      <c r="D9" s="559">
        <v>16.5</v>
      </c>
      <c r="E9" s="34" t="s">
        <v>67</v>
      </c>
      <c r="F9" s="591">
        <v>0.12</v>
      </c>
      <c r="G9" s="591">
        <v>3.2</v>
      </c>
      <c r="H9" s="592">
        <v>0.14000000000000001</v>
      </c>
      <c r="I9" s="591">
        <v>1.4</v>
      </c>
      <c r="J9" s="591">
        <v>0.1</v>
      </c>
      <c r="K9" s="591">
        <v>1.0999999999999999E-2</v>
      </c>
      <c r="L9" s="32" t="s">
        <v>541</v>
      </c>
      <c r="M9" s="599">
        <v>240</v>
      </c>
      <c r="N9" s="591">
        <v>15</v>
      </c>
      <c r="O9" s="591">
        <v>18</v>
      </c>
      <c r="P9" s="591">
        <v>130</v>
      </c>
      <c r="Q9" s="591">
        <v>100</v>
      </c>
      <c r="R9" s="35" t="s">
        <v>328</v>
      </c>
      <c r="S9" s="591">
        <v>0.59</v>
      </c>
      <c r="T9" s="591">
        <v>11</v>
      </c>
      <c r="U9" s="591">
        <v>3</v>
      </c>
      <c r="V9" s="591">
        <v>4</v>
      </c>
      <c r="W9" s="591">
        <v>28</v>
      </c>
      <c r="X9" s="591">
        <v>3.6999999999999998E-2</v>
      </c>
      <c r="Y9" s="591">
        <v>3.5</v>
      </c>
      <c r="Z9" s="591">
        <v>2.8</v>
      </c>
      <c r="AA9" s="591">
        <v>56</v>
      </c>
      <c r="AB9" s="591">
        <v>0.53</v>
      </c>
      <c r="AC9" s="591">
        <v>0.56999999999999995</v>
      </c>
      <c r="AD9" s="591">
        <v>0.12</v>
      </c>
      <c r="AE9" s="591">
        <v>0.67</v>
      </c>
      <c r="AF9" s="591">
        <v>0.77</v>
      </c>
      <c r="AG9" s="35" t="s">
        <v>335</v>
      </c>
      <c r="AH9" s="591">
        <v>3.9</v>
      </c>
      <c r="AI9" s="591">
        <v>4.1000000000000002E-2</v>
      </c>
      <c r="AJ9" s="591">
        <v>5.0999999999999997E-2</v>
      </c>
      <c r="AK9" s="35" t="s">
        <v>298</v>
      </c>
      <c r="AL9" s="33" t="s">
        <v>647</v>
      </c>
      <c r="AM9" s="559">
        <v>0.11</v>
      </c>
      <c r="AN9" s="33" t="s">
        <v>648</v>
      </c>
      <c r="AO9" s="33" t="s">
        <v>337</v>
      </c>
      <c r="AP9" s="591">
        <v>2.8</v>
      </c>
      <c r="AQ9" s="32"/>
      <c r="AR9" s="34" t="s">
        <v>552</v>
      </c>
      <c r="AS9" s="592">
        <v>1.3</v>
      </c>
      <c r="AT9" s="592">
        <v>1.2</v>
      </c>
      <c r="AU9" s="592">
        <v>0.68</v>
      </c>
      <c r="AV9" s="592">
        <v>1.1000000000000001</v>
      </c>
      <c r="AW9" s="591">
        <v>1.2</v>
      </c>
      <c r="AX9" s="559">
        <v>1.1000000000000001</v>
      </c>
      <c r="AY9" s="559">
        <v>2.1000000000000001E-2</v>
      </c>
      <c r="AZ9" s="559">
        <v>4.3</v>
      </c>
      <c r="BA9" s="559">
        <v>1.2</v>
      </c>
      <c r="BB9" s="605">
        <v>3</v>
      </c>
      <c r="BC9" s="619">
        <f t="shared" si="3"/>
        <v>0.99534883720930245</v>
      </c>
      <c r="BD9" s="610">
        <f t="shared" si="4"/>
        <v>1.0174999999999998</v>
      </c>
      <c r="BF9" s="610" t="e">
        <f t="shared" si="5"/>
        <v>#VALUE!</v>
      </c>
      <c r="BG9" s="610">
        <f t="shared" si="6"/>
        <v>1.9354838709677419E-3</v>
      </c>
      <c r="BH9" s="610">
        <f t="shared" si="7"/>
        <v>6.6666666666666666E-2</v>
      </c>
      <c r="BI9" s="610">
        <f t="shared" si="8"/>
        <v>6.0869565217391312E-3</v>
      </c>
      <c r="BJ9" s="610">
        <f t="shared" si="9"/>
        <v>7.7777777777777779E-2</v>
      </c>
      <c r="BK9" s="610">
        <f t="shared" si="10"/>
        <v>2.5641025641025641E-3</v>
      </c>
      <c r="BL9" s="610">
        <f t="shared" si="11"/>
        <v>9.0534979423868302E-4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4.4000000000000004</v>
      </c>
      <c r="BS9" s="564">
        <f t="shared" si="17"/>
        <v>0.15479999999999999</v>
      </c>
      <c r="BT9" s="564">
        <f t="shared" si="18"/>
        <v>0.35000000000000003</v>
      </c>
      <c r="BU9" s="564">
        <f t="shared" si="19"/>
        <v>6.88</v>
      </c>
      <c r="BV9" s="564">
        <f t="shared" si="20"/>
        <v>1.2</v>
      </c>
      <c r="BW9" s="564">
        <f t="shared" si="21"/>
        <v>0.13785</v>
      </c>
      <c r="BX9" s="564">
        <f t="shared" si="0"/>
        <v>0.13999999999999999</v>
      </c>
      <c r="BY9" s="564">
        <f t="shared" si="22"/>
        <v>3.8640000000000001E-2</v>
      </c>
      <c r="BZ9" s="564">
        <f t="shared" si="23"/>
        <v>9.8529999999999993E-4</v>
      </c>
      <c r="CA9" s="564">
        <f t="shared" si="24"/>
        <v>13.3022753</v>
      </c>
      <c r="CB9" s="611">
        <f t="shared" si="25"/>
        <v>0.80619850303030305</v>
      </c>
      <c r="CD9" s="610">
        <f t="shared" si="26"/>
        <v>0.78181818181818175</v>
      </c>
      <c r="CE9" s="610">
        <f t="shared" si="27"/>
        <v>0.69767441860465118</v>
      </c>
      <c r="CF9" s="610">
        <f t="shared" si="1"/>
        <v>9.9999999999999867E-2</v>
      </c>
      <c r="CG9" s="610">
        <f t="shared" si="2"/>
        <v>1.121</v>
      </c>
    </row>
    <row r="10" spans="2:85" ht="20.149999999999999" customHeight="1" x14ac:dyDescent="0.2">
      <c r="B10" s="31" t="s">
        <v>642</v>
      </c>
      <c r="C10" s="32" t="s">
        <v>631</v>
      </c>
      <c r="D10" s="559">
        <v>22.6</v>
      </c>
      <c r="E10" s="34" t="s">
        <v>67</v>
      </c>
      <c r="F10" s="591">
        <v>9.6000000000000002E-2</v>
      </c>
      <c r="G10" s="591">
        <v>4.9000000000000004</v>
      </c>
      <c r="H10" s="592">
        <v>0.24</v>
      </c>
      <c r="I10" s="591">
        <v>1.9</v>
      </c>
      <c r="J10" s="591">
        <v>0.41</v>
      </c>
      <c r="K10" s="591">
        <v>4.2999999999999997E-2</v>
      </c>
      <c r="L10" s="32" t="s">
        <v>541</v>
      </c>
      <c r="M10" s="599">
        <v>360</v>
      </c>
      <c r="N10" s="591">
        <v>39</v>
      </c>
      <c r="O10" s="591">
        <v>13</v>
      </c>
      <c r="P10" s="591">
        <v>590</v>
      </c>
      <c r="Q10" s="591">
        <v>170</v>
      </c>
      <c r="R10" s="35" t="s">
        <v>328</v>
      </c>
      <c r="S10" s="591">
        <v>1.7</v>
      </c>
      <c r="T10" s="591">
        <v>9.8000000000000007</v>
      </c>
      <c r="U10" s="591">
        <v>6.4</v>
      </c>
      <c r="V10" s="591">
        <v>3.9</v>
      </c>
      <c r="W10" s="591">
        <v>31</v>
      </c>
      <c r="X10" s="591">
        <v>3.5000000000000003E-2</v>
      </c>
      <c r="Y10" s="591">
        <v>3</v>
      </c>
      <c r="Z10" s="591">
        <v>12</v>
      </c>
      <c r="AA10" s="591">
        <v>49</v>
      </c>
      <c r="AB10" s="591">
        <v>0.64</v>
      </c>
      <c r="AC10" s="591">
        <v>0.82</v>
      </c>
      <c r="AD10" s="591">
        <v>0.14000000000000001</v>
      </c>
      <c r="AE10" s="591">
        <v>0.82</v>
      </c>
      <c r="AF10" s="591">
        <v>1.2</v>
      </c>
      <c r="AG10" s="35" t="s">
        <v>335</v>
      </c>
      <c r="AH10" s="591">
        <v>26</v>
      </c>
      <c r="AI10" s="591">
        <v>4.9000000000000002E-2</v>
      </c>
      <c r="AJ10" s="591">
        <v>6.6000000000000003E-2</v>
      </c>
      <c r="AK10" s="35" t="s">
        <v>298</v>
      </c>
      <c r="AL10" s="33" t="s">
        <v>647</v>
      </c>
      <c r="AM10" s="559">
        <v>0.22</v>
      </c>
      <c r="AN10" s="33" t="s">
        <v>648</v>
      </c>
      <c r="AO10" s="33" t="s">
        <v>337</v>
      </c>
      <c r="AP10" s="591">
        <v>5.5</v>
      </c>
      <c r="AQ10" s="32"/>
      <c r="AR10" s="34" t="s">
        <v>552</v>
      </c>
      <c r="AS10" s="592">
        <v>1.7</v>
      </c>
      <c r="AT10" s="592">
        <v>1.5</v>
      </c>
      <c r="AU10" s="592">
        <v>0.9</v>
      </c>
      <c r="AV10" s="592">
        <v>1.5</v>
      </c>
      <c r="AW10" s="591">
        <v>1.6</v>
      </c>
      <c r="AX10" s="559">
        <v>0.92</v>
      </c>
      <c r="AY10" s="33" t="s">
        <v>285</v>
      </c>
      <c r="AZ10" s="559">
        <v>5.6</v>
      </c>
      <c r="BA10" s="559">
        <v>1</v>
      </c>
      <c r="BB10" s="605">
        <v>3.6</v>
      </c>
      <c r="BC10" s="619">
        <f t="shared" si="3"/>
        <v>1.0000000000000002</v>
      </c>
      <c r="BD10" s="610">
        <f t="shared" si="4"/>
        <v>1.02</v>
      </c>
      <c r="BF10" s="610" t="e">
        <f t="shared" si="5"/>
        <v>#VALUE!</v>
      </c>
      <c r="BG10" s="610">
        <f t="shared" si="6"/>
        <v>1.5483870967741935E-3</v>
      </c>
      <c r="BH10" s="610">
        <f t="shared" si="7"/>
        <v>0.10208333333333335</v>
      </c>
      <c r="BI10" s="610">
        <f t="shared" si="8"/>
        <v>1.0434782608695651E-2</v>
      </c>
      <c r="BJ10" s="610">
        <f t="shared" si="9"/>
        <v>0.10555555555555556</v>
      </c>
      <c r="BK10" s="610">
        <f t="shared" si="10"/>
        <v>1.0512820512820513E-2</v>
      </c>
      <c r="BL10" s="610">
        <f t="shared" si="11"/>
        <v>3.5390946502057608E-3</v>
      </c>
      <c r="BM10" s="610" t="e">
        <f t="shared" si="12"/>
        <v>#VALUE!</v>
      </c>
      <c r="BN10" s="563" t="e">
        <f t="shared" si="13"/>
        <v>#VALUE!</v>
      </c>
      <c r="BO10" s="563" t="e">
        <f t="shared" si="14"/>
        <v>#VALUE!</v>
      </c>
      <c r="BP10" s="611" t="e">
        <f t="shared" si="15"/>
        <v>#VALUE!</v>
      </c>
      <c r="BR10" s="564">
        <f t="shared" si="16"/>
        <v>6.7375000000000007</v>
      </c>
      <c r="BS10" s="564">
        <f t="shared" si="17"/>
        <v>0.12384000000000001</v>
      </c>
      <c r="BT10" s="564">
        <f t="shared" si="18"/>
        <v>0.6</v>
      </c>
      <c r="BU10" s="564">
        <f t="shared" si="19"/>
        <v>8.9599999999999991</v>
      </c>
      <c r="BV10" s="564">
        <f t="shared" si="20"/>
        <v>1</v>
      </c>
      <c r="BW10" s="564">
        <f t="shared" si="21"/>
        <v>0.35841000000000001</v>
      </c>
      <c r="BX10" s="564">
        <f t="shared" si="0"/>
        <v>0.23799999999999999</v>
      </c>
      <c r="BY10" s="564">
        <f t="shared" si="22"/>
        <v>4.2779999999999999E-2</v>
      </c>
      <c r="BZ10" s="564">
        <f t="shared" si="23"/>
        <v>2.8389999999999995E-3</v>
      </c>
      <c r="CA10" s="564">
        <f t="shared" si="24"/>
        <v>18.063369000000002</v>
      </c>
      <c r="CB10" s="611">
        <f t="shared" si="25"/>
        <v>0.79926411504424777</v>
      </c>
      <c r="CD10" s="610">
        <f t="shared" si="26"/>
        <v>0.84848484848484851</v>
      </c>
      <c r="CE10" s="610">
        <f t="shared" si="27"/>
        <v>0.6428571428571429</v>
      </c>
      <c r="CF10" s="610">
        <f t="shared" si="1"/>
        <v>0.10000000000000009</v>
      </c>
      <c r="CG10" s="610" t="e">
        <f t="shared" si="2"/>
        <v>#VALUE!</v>
      </c>
    </row>
    <row r="11" spans="2:85" ht="20.149999999999999" customHeight="1" thickBot="1" x14ac:dyDescent="0.25">
      <c r="B11" s="39" t="s">
        <v>642</v>
      </c>
      <c r="C11" s="40" t="s">
        <v>632</v>
      </c>
      <c r="D11" s="560">
        <v>16.100000000000001</v>
      </c>
      <c r="E11" s="42" t="s">
        <v>67</v>
      </c>
      <c r="F11" s="593">
        <v>0.21</v>
      </c>
      <c r="G11" s="593">
        <v>2.7</v>
      </c>
      <c r="H11" s="594">
        <v>0.27</v>
      </c>
      <c r="I11" s="593">
        <v>1</v>
      </c>
      <c r="J11" s="593">
        <v>0.15</v>
      </c>
      <c r="K11" s="593">
        <v>3.1E-2</v>
      </c>
      <c r="L11" s="45" t="s">
        <v>541</v>
      </c>
      <c r="M11" s="600">
        <v>340</v>
      </c>
      <c r="N11" s="593">
        <v>20</v>
      </c>
      <c r="O11" s="593">
        <v>18</v>
      </c>
      <c r="P11" s="593">
        <v>170</v>
      </c>
      <c r="Q11" s="593">
        <v>81</v>
      </c>
      <c r="R11" s="43" t="s">
        <v>328</v>
      </c>
      <c r="S11" s="593">
        <v>0.62</v>
      </c>
      <c r="T11" s="593">
        <v>10</v>
      </c>
      <c r="U11" s="593">
        <v>2.2999999999999998</v>
      </c>
      <c r="V11" s="593">
        <v>1.6</v>
      </c>
      <c r="W11" s="593">
        <v>10</v>
      </c>
      <c r="X11" s="593">
        <v>2.4E-2</v>
      </c>
      <c r="Y11" s="593">
        <v>2.8</v>
      </c>
      <c r="Z11" s="593">
        <v>3.6</v>
      </c>
      <c r="AA11" s="593">
        <v>30</v>
      </c>
      <c r="AB11" s="593">
        <v>0.43</v>
      </c>
      <c r="AC11" s="593">
        <v>0.52</v>
      </c>
      <c r="AD11" s="593">
        <v>7.1999999999999995E-2</v>
      </c>
      <c r="AE11" s="593">
        <v>0.46</v>
      </c>
      <c r="AF11" s="593">
        <v>0.63</v>
      </c>
      <c r="AG11" s="43" t="s">
        <v>335</v>
      </c>
      <c r="AH11" s="593">
        <v>6.9</v>
      </c>
      <c r="AI11" s="593">
        <v>4.2999999999999997E-2</v>
      </c>
      <c r="AJ11" s="593">
        <v>4.2999999999999997E-2</v>
      </c>
      <c r="AK11" s="43" t="s">
        <v>298</v>
      </c>
      <c r="AL11" s="560">
        <v>1E-3</v>
      </c>
      <c r="AM11" s="560">
        <v>0.17</v>
      </c>
      <c r="AN11" s="41" t="s">
        <v>648</v>
      </c>
      <c r="AO11" s="41" t="s">
        <v>337</v>
      </c>
      <c r="AP11" s="593">
        <v>2.2000000000000002</v>
      </c>
      <c r="AQ11" s="45"/>
      <c r="AR11" s="42" t="s">
        <v>552</v>
      </c>
      <c r="AS11" s="594">
        <v>1.5</v>
      </c>
      <c r="AT11" s="594">
        <v>1.5</v>
      </c>
      <c r="AU11" s="594">
        <v>1</v>
      </c>
      <c r="AV11" s="594">
        <v>1.2</v>
      </c>
      <c r="AW11" s="593">
        <v>1.2</v>
      </c>
      <c r="AX11" s="560">
        <v>0.85</v>
      </c>
      <c r="AY11" s="560">
        <v>2.5999999999999999E-2</v>
      </c>
      <c r="AZ11" s="560">
        <v>5.2</v>
      </c>
      <c r="BA11" s="560">
        <v>0.88</v>
      </c>
      <c r="BB11" s="606">
        <v>5.2</v>
      </c>
      <c r="BC11" s="620">
        <f t="shared" si="3"/>
        <v>1</v>
      </c>
      <c r="BD11" s="617">
        <f t="shared" si="4"/>
        <v>0.99545454545454504</v>
      </c>
      <c r="BE11" s="616"/>
      <c r="BF11" s="617" t="e">
        <f t="shared" si="5"/>
        <v>#VALUE!</v>
      </c>
      <c r="BG11" s="617">
        <f t="shared" si="6"/>
        <v>3.3870967741935483E-3</v>
      </c>
      <c r="BH11" s="617">
        <f t="shared" si="7"/>
        <v>5.6250000000000001E-2</v>
      </c>
      <c r="BI11" s="617">
        <f t="shared" si="8"/>
        <v>1.173913043478261E-2</v>
      </c>
      <c r="BJ11" s="617">
        <f t="shared" si="9"/>
        <v>5.5555555555555552E-2</v>
      </c>
      <c r="BK11" s="617">
        <f t="shared" si="10"/>
        <v>3.8461538461538459E-3</v>
      </c>
      <c r="BL11" s="617">
        <f t="shared" si="11"/>
        <v>2.5514403292181071E-3</v>
      </c>
      <c r="BM11" s="617" t="e">
        <f t="shared" si="12"/>
        <v>#VALUE!</v>
      </c>
      <c r="BN11" s="621" t="e">
        <f t="shared" si="13"/>
        <v>#VALUE!</v>
      </c>
      <c r="BO11" s="621" t="e">
        <f t="shared" si="14"/>
        <v>#VALUE!</v>
      </c>
      <c r="BP11" s="618" t="e">
        <f t="shared" si="15"/>
        <v>#VALUE!</v>
      </c>
      <c r="BQ11" s="616"/>
      <c r="BR11" s="615">
        <f t="shared" si="16"/>
        <v>3.7125000000000004</v>
      </c>
      <c r="BS11" s="615">
        <f t="shared" si="17"/>
        <v>0.27089999999999997</v>
      </c>
      <c r="BT11" s="615">
        <f t="shared" si="18"/>
        <v>0.67500000000000004</v>
      </c>
      <c r="BU11" s="615">
        <f t="shared" si="19"/>
        <v>8.32</v>
      </c>
      <c r="BV11" s="615">
        <f t="shared" si="20"/>
        <v>0.88</v>
      </c>
      <c r="BW11" s="615">
        <f t="shared" si="21"/>
        <v>0.18380000000000002</v>
      </c>
      <c r="BX11" s="615">
        <f t="shared" si="0"/>
        <v>0.1134</v>
      </c>
      <c r="BY11" s="615">
        <f t="shared" si="22"/>
        <v>1.38E-2</v>
      </c>
      <c r="BZ11" s="615">
        <f t="shared" si="23"/>
        <v>1.0353999999999999E-3</v>
      </c>
      <c r="CA11" s="615">
        <f t="shared" si="24"/>
        <v>14.170435400000001</v>
      </c>
      <c r="CB11" s="618">
        <f t="shared" si="25"/>
        <v>0.88015126708074531</v>
      </c>
      <c r="CC11" s="617"/>
      <c r="CD11" s="617">
        <f t="shared" si="26"/>
        <v>0.85526315789473684</v>
      </c>
      <c r="CE11" s="617">
        <f t="shared" si="27"/>
        <v>1</v>
      </c>
      <c r="CF11" s="617">
        <f t="shared" si="1"/>
        <v>0</v>
      </c>
      <c r="CG11" s="617">
        <f t="shared" si="2"/>
        <v>0.87599999999999967</v>
      </c>
    </row>
    <row r="12" spans="2:85" ht="20.149999999999999" customHeight="1" x14ac:dyDescent="0.2">
      <c r="B12" s="31" t="s">
        <v>643</v>
      </c>
      <c r="C12" s="46" t="s">
        <v>633</v>
      </c>
      <c r="D12" s="561">
        <v>11</v>
      </c>
      <c r="E12" s="630">
        <f t="shared" ref="E12:E18" si="28">0.5*0.11</f>
        <v>5.5E-2</v>
      </c>
      <c r="F12" s="595">
        <v>0.36</v>
      </c>
      <c r="G12" s="595">
        <v>2.8</v>
      </c>
      <c r="H12" s="596">
        <v>0.38</v>
      </c>
      <c r="I12" s="595">
        <v>1</v>
      </c>
      <c r="J12" s="595">
        <v>7.3999999999999996E-2</v>
      </c>
      <c r="K12" s="595">
        <v>4.1000000000000002E-2</v>
      </c>
      <c r="L12" s="632">
        <f t="shared" ref="L12:L18" si="29">0.5*0.068</f>
        <v>3.4000000000000002E-2</v>
      </c>
      <c r="M12" s="601">
        <v>670</v>
      </c>
      <c r="N12" s="625">
        <f>0.5*7.7</f>
        <v>3.85</v>
      </c>
      <c r="O12" s="595">
        <v>17</v>
      </c>
      <c r="P12" s="595">
        <v>95</v>
      </c>
      <c r="Q12" s="595">
        <v>88</v>
      </c>
      <c r="R12" s="625">
        <f t="shared" ref="R12:R18" si="30">0.5*0.0092</f>
        <v>4.5999999999999999E-3</v>
      </c>
      <c r="S12" s="595">
        <v>1.1000000000000001</v>
      </c>
      <c r="T12" s="595">
        <v>5.3</v>
      </c>
      <c r="U12" s="595">
        <v>2.1</v>
      </c>
      <c r="V12" s="595">
        <v>1.7</v>
      </c>
      <c r="W12" s="595">
        <v>18</v>
      </c>
      <c r="X12" s="595">
        <v>2.8000000000000001E-2</v>
      </c>
      <c r="Y12" s="595">
        <v>1.8</v>
      </c>
      <c r="Z12" s="595">
        <v>1.5</v>
      </c>
      <c r="AA12" s="595">
        <v>24</v>
      </c>
      <c r="AB12" s="595">
        <v>0.31</v>
      </c>
      <c r="AC12" s="595">
        <v>0.3</v>
      </c>
      <c r="AD12" s="595">
        <v>5.2999999999999999E-2</v>
      </c>
      <c r="AE12" s="595">
        <v>0.28000000000000003</v>
      </c>
      <c r="AF12" s="595">
        <v>0.38</v>
      </c>
      <c r="AG12" s="625">
        <f t="shared" ref="AG12:AG18" si="31">0.5*0.006</f>
        <v>3.0000000000000001E-3</v>
      </c>
      <c r="AH12" s="595">
        <v>2.9</v>
      </c>
      <c r="AI12" s="595">
        <v>2.8000000000000001E-2</v>
      </c>
      <c r="AJ12" s="595">
        <v>3.7999999999999999E-2</v>
      </c>
      <c r="AK12" s="625">
        <f t="shared" ref="AK12:AK18" si="32">0.5*0.012</f>
        <v>6.0000000000000001E-3</v>
      </c>
      <c r="AL12" s="627">
        <f>0.5*0.001</f>
        <v>5.0000000000000001E-4</v>
      </c>
      <c r="AM12" s="561">
        <v>0.15</v>
      </c>
      <c r="AN12" s="627">
        <f t="shared" ref="AN12:AN18" si="33">0.5*0.0016</f>
        <v>8.0000000000000004E-4</v>
      </c>
      <c r="AO12" s="627">
        <f t="shared" ref="AO12:AO17" si="34">0.5*0.00092</f>
        <v>4.6000000000000001E-4</v>
      </c>
      <c r="AP12" s="595">
        <v>1.4</v>
      </c>
      <c r="AQ12" s="37"/>
      <c r="AR12" s="630">
        <f t="shared" ref="AR12:AR18" si="35">0.5*0.026</f>
        <v>1.2999999999999999E-2</v>
      </c>
      <c r="AS12" s="596">
        <v>0.84</v>
      </c>
      <c r="AT12" s="596">
        <v>0.61</v>
      </c>
      <c r="AU12" s="596">
        <v>0.45</v>
      </c>
      <c r="AV12" s="596">
        <v>0.63</v>
      </c>
      <c r="AW12" s="595">
        <v>0.68</v>
      </c>
      <c r="AX12" s="561">
        <v>0.51</v>
      </c>
      <c r="AY12" s="627">
        <f>0.5*0.016</f>
        <v>8.0000000000000002E-3</v>
      </c>
      <c r="AZ12" s="561">
        <v>2.5</v>
      </c>
      <c r="BA12" s="561">
        <v>0.56000000000000005</v>
      </c>
      <c r="BB12" s="607">
        <v>1.9</v>
      </c>
      <c r="BC12" s="619">
        <f t="shared" si="3"/>
        <v>1.0172000000000001</v>
      </c>
      <c r="BD12" s="610">
        <f t="shared" si="4"/>
        <v>1.014285714285714</v>
      </c>
      <c r="BF12" s="610">
        <f t="shared" si="5"/>
        <v>1.5492957746478873E-3</v>
      </c>
      <c r="BG12" s="610">
        <f t="shared" si="6"/>
        <v>5.8064516129032254E-3</v>
      </c>
      <c r="BH12" s="610">
        <f t="shared" si="7"/>
        <v>5.8333333333333327E-2</v>
      </c>
      <c r="BI12" s="610">
        <f t="shared" si="8"/>
        <v>1.6521739130434782E-2</v>
      </c>
      <c r="BJ12" s="610">
        <f t="shared" si="9"/>
        <v>5.5555555555555552E-2</v>
      </c>
      <c r="BK12" s="610">
        <f t="shared" si="10"/>
        <v>1.8974358974358973E-3</v>
      </c>
      <c r="BL12" s="610">
        <f t="shared" si="11"/>
        <v>3.374485596707819E-3</v>
      </c>
      <c r="BM12" s="610">
        <f t="shared" si="12"/>
        <v>1.7000000000000001E-3</v>
      </c>
      <c r="BN12" s="563">
        <f t="shared" si="13"/>
        <v>65.689080720884448</v>
      </c>
      <c r="BO12" s="563">
        <f t="shared" si="14"/>
        <v>79.049216180134053</v>
      </c>
      <c r="BP12" s="611">
        <f t="shared" si="15"/>
        <v>0.83098965296752481</v>
      </c>
      <c r="BR12" s="564">
        <f t="shared" si="16"/>
        <v>3.8499999999999996</v>
      </c>
      <c r="BS12" s="564">
        <f t="shared" si="17"/>
        <v>0.46439999999999998</v>
      </c>
      <c r="BT12" s="564">
        <f t="shared" si="18"/>
        <v>0.95</v>
      </c>
      <c r="BU12" s="564">
        <f t="shared" si="19"/>
        <v>4</v>
      </c>
      <c r="BV12" s="564">
        <f t="shared" si="20"/>
        <v>0.56000000000000005</v>
      </c>
      <c r="BW12" s="564">
        <f t="shared" si="21"/>
        <v>3.5381500000000003E-2</v>
      </c>
      <c r="BX12" s="564">
        <f t="shared" si="0"/>
        <v>0.12319999999999999</v>
      </c>
      <c r="BY12" s="564">
        <f t="shared" si="22"/>
        <v>2.4839999999999997E-2</v>
      </c>
      <c r="BZ12" s="564">
        <f t="shared" si="23"/>
        <v>1.8370000000000001E-3</v>
      </c>
      <c r="CA12" s="564">
        <f t="shared" si="24"/>
        <v>10.0096585</v>
      </c>
      <c r="CB12" s="611">
        <f t="shared" si="25"/>
        <v>0.90996895454545457</v>
      </c>
      <c r="CC12" s="610"/>
      <c r="CD12" s="610">
        <f t="shared" si="26"/>
        <v>0.81699346405228757</v>
      </c>
      <c r="CE12" s="610">
        <f t="shared" si="27"/>
        <v>0.76</v>
      </c>
      <c r="CF12" s="610">
        <f t="shared" si="1"/>
        <v>5.0000000000000044E-2</v>
      </c>
      <c r="CG12" s="610">
        <f t="shared" si="2"/>
        <v>0.51800000000000002</v>
      </c>
    </row>
    <row r="13" spans="2:85" ht="20.149999999999999" customHeight="1" x14ac:dyDescent="0.2">
      <c r="B13" s="31" t="s">
        <v>643</v>
      </c>
      <c r="C13" s="40" t="s">
        <v>634</v>
      </c>
      <c r="D13" s="559">
        <v>23</v>
      </c>
      <c r="E13" s="623">
        <f t="shared" si="28"/>
        <v>5.5E-2</v>
      </c>
      <c r="F13" s="591">
        <v>7.1999999999999995E-2</v>
      </c>
      <c r="G13" s="591">
        <v>6</v>
      </c>
      <c r="H13" s="592">
        <v>0.23</v>
      </c>
      <c r="I13" s="591">
        <v>2.4</v>
      </c>
      <c r="J13" s="591">
        <v>9.4E-2</v>
      </c>
      <c r="K13" s="591">
        <v>0.02</v>
      </c>
      <c r="L13" s="633">
        <f t="shared" si="29"/>
        <v>3.4000000000000002E-2</v>
      </c>
      <c r="M13" s="599">
        <v>320</v>
      </c>
      <c r="N13" s="591">
        <v>18</v>
      </c>
      <c r="O13" s="591">
        <v>27</v>
      </c>
      <c r="P13" s="591">
        <v>120</v>
      </c>
      <c r="Q13" s="591">
        <v>230</v>
      </c>
      <c r="R13" s="624">
        <f t="shared" si="30"/>
        <v>4.5999999999999999E-3</v>
      </c>
      <c r="S13" s="591">
        <v>1</v>
      </c>
      <c r="T13" s="591">
        <v>7.8</v>
      </c>
      <c r="U13" s="591">
        <v>1.2</v>
      </c>
      <c r="V13" s="591">
        <v>3.7</v>
      </c>
      <c r="W13" s="591">
        <v>36</v>
      </c>
      <c r="X13" s="591">
        <v>4.2999999999999997E-2</v>
      </c>
      <c r="Y13" s="591">
        <v>2.5</v>
      </c>
      <c r="Z13" s="591">
        <v>2.6</v>
      </c>
      <c r="AA13" s="591">
        <v>74</v>
      </c>
      <c r="AB13" s="591">
        <v>0.56999999999999995</v>
      </c>
      <c r="AC13" s="591">
        <v>0.85</v>
      </c>
      <c r="AD13" s="591">
        <v>0.12</v>
      </c>
      <c r="AE13" s="591">
        <v>0.49</v>
      </c>
      <c r="AF13" s="591">
        <v>0.9</v>
      </c>
      <c r="AG13" s="624">
        <f t="shared" si="31"/>
        <v>3.0000000000000001E-3</v>
      </c>
      <c r="AH13" s="591">
        <v>3.5</v>
      </c>
      <c r="AI13" s="591">
        <v>6.0999999999999999E-2</v>
      </c>
      <c r="AJ13" s="591">
        <v>7.5999999999999998E-2</v>
      </c>
      <c r="AK13" s="624">
        <f t="shared" si="32"/>
        <v>6.0000000000000001E-3</v>
      </c>
      <c r="AL13" s="628">
        <f>0.5*0.001</f>
        <v>5.0000000000000001E-4</v>
      </c>
      <c r="AM13" s="559">
        <v>0.17</v>
      </c>
      <c r="AN13" s="628">
        <f t="shared" si="33"/>
        <v>8.0000000000000004E-4</v>
      </c>
      <c r="AO13" s="628">
        <f t="shared" si="34"/>
        <v>4.6000000000000001E-4</v>
      </c>
      <c r="AP13" s="591">
        <v>3.1</v>
      </c>
      <c r="AQ13" s="32"/>
      <c r="AR13" s="623">
        <f t="shared" si="35"/>
        <v>1.2999999999999999E-2</v>
      </c>
      <c r="AS13" s="592">
        <v>1.6</v>
      </c>
      <c r="AT13" s="592">
        <v>1.1000000000000001</v>
      </c>
      <c r="AU13" s="592">
        <v>0.81</v>
      </c>
      <c r="AV13" s="592">
        <v>1.5</v>
      </c>
      <c r="AW13" s="591">
        <v>1.6</v>
      </c>
      <c r="AX13" s="559">
        <v>1.3</v>
      </c>
      <c r="AY13" s="559">
        <v>4.1000000000000002E-2</v>
      </c>
      <c r="AZ13" s="559">
        <v>5</v>
      </c>
      <c r="BA13" s="559">
        <v>1.4</v>
      </c>
      <c r="BB13" s="605">
        <v>4.7</v>
      </c>
      <c r="BC13" s="619">
        <f t="shared" si="3"/>
        <v>1.0045999999999999</v>
      </c>
      <c r="BD13" s="610">
        <f t="shared" si="4"/>
        <v>1.0292857142857146</v>
      </c>
      <c r="BF13" s="610">
        <f t="shared" si="5"/>
        <v>1.5492957746478873E-3</v>
      </c>
      <c r="BG13" s="610">
        <f t="shared" si="6"/>
        <v>1.1612903225806451E-3</v>
      </c>
      <c r="BH13" s="610">
        <f t="shared" si="7"/>
        <v>0.125</v>
      </c>
      <c r="BI13" s="610">
        <f t="shared" si="8"/>
        <v>0.01</v>
      </c>
      <c r="BJ13" s="610">
        <f t="shared" si="9"/>
        <v>0.13333333333333333</v>
      </c>
      <c r="BK13" s="610">
        <f t="shared" si="10"/>
        <v>2.4102564102564104E-3</v>
      </c>
      <c r="BL13" s="610">
        <f t="shared" si="11"/>
        <v>1.6460905349794238E-3</v>
      </c>
      <c r="BM13" s="610">
        <f t="shared" si="12"/>
        <v>1.7000000000000001E-3</v>
      </c>
      <c r="BN13" s="563">
        <f t="shared" si="13"/>
        <v>127.71058609722854</v>
      </c>
      <c r="BO13" s="563">
        <f t="shared" si="14"/>
        <v>149.08968027856918</v>
      </c>
      <c r="BP13" s="611">
        <f t="shared" si="15"/>
        <v>0.85660245470112684</v>
      </c>
      <c r="BR13" s="564">
        <f t="shared" si="16"/>
        <v>8.25</v>
      </c>
      <c r="BS13" s="564">
        <f t="shared" si="17"/>
        <v>9.287999999999999E-2</v>
      </c>
      <c r="BT13" s="564">
        <f t="shared" si="18"/>
        <v>0.57500000000000007</v>
      </c>
      <c r="BU13" s="564">
        <f t="shared" si="19"/>
        <v>8</v>
      </c>
      <c r="BV13" s="564">
        <f t="shared" si="20"/>
        <v>1.4</v>
      </c>
      <c r="BW13" s="564">
        <f t="shared" si="21"/>
        <v>0.16542000000000001</v>
      </c>
      <c r="BX13" s="564">
        <f t="shared" si="0"/>
        <v>0.32200000000000001</v>
      </c>
      <c r="BY13" s="564">
        <f t="shared" si="22"/>
        <v>4.9679999999999995E-2</v>
      </c>
      <c r="BZ13" s="564">
        <f t="shared" si="23"/>
        <v>1.67E-3</v>
      </c>
      <c r="CA13" s="564">
        <f t="shared" si="24"/>
        <v>18.856649999999995</v>
      </c>
      <c r="CB13" s="611">
        <f t="shared" si="25"/>
        <v>0.81985434782608668</v>
      </c>
      <c r="CC13" s="610"/>
      <c r="CD13" s="610">
        <f t="shared" si="26"/>
        <v>0.78125</v>
      </c>
      <c r="CE13" s="610">
        <f t="shared" si="27"/>
        <v>0.94000000000000006</v>
      </c>
      <c r="CF13" s="610">
        <f t="shared" ref="CF13:CF20" si="36">IF(AW13-AV13&gt;0,AW13-AV13,0)</f>
        <v>0.10000000000000009</v>
      </c>
      <c r="CG13" s="610">
        <f t="shared" ref="CG13:CG20" si="37">IF(AW13-AV13&gt;0,AX13+AY13,AW13+AX13+AY13-AV13)</f>
        <v>1.341</v>
      </c>
    </row>
    <row r="14" spans="2:85" ht="20.149999999999999" customHeight="1" x14ac:dyDescent="0.2">
      <c r="B14" s="31" t="s">
        <v>643</v>
      </c>
      <c r="C14" s="32" t="s">
        <v>635</v>
      </c>
      <c r="D14" s="559">
        <v>27.8</v>
      </c>
      <c r="E14" s="623">
        <f t="shared" si="28"/>
        <v>5.5E-2</v>
      </c>
      <c r="F14" s="591">
        <v>5.2999999999999999E-2</v>
      </c>
      <c r="G14" s="591">
        <v>8.8000000000000007</v>
      </c>
      <c r="H14" s="592">
        <v>0.14000000000000001</v>
      </c>
      <c r="I14" s="591">
        <v>3.7</v>
      </c>
      <c r="J14" s="591">
        <v>0.1</v>
      </c>
      <c r="K14" s="591">
        <v>7.6E-3</v>
      </c>
      <c r="L14" s="633">
        <f t="shared" si="29"/>
        <v>3.4000000000000002E-2</v>
      </c>
      <c r="M14" s="599">
        <v>220</v>
      </c>
      <c r="N14" s="591">
        <v>9.4</v>
      </c>
      <c r="O14" s="591">
        <v>21</v>
      </c>
      <c r="P14" s="591">
        <v>130</v>
      </c>
      <c r="Q14" s="591">
        <v>89</v>
      </c>
      <c r="R14" s="624">
        <f t="shared" si="30"/>
        <v>4.5999999999999999E-3</v>
      </c>
      <c r="S14" s="591">
        <v>1.2</v>
      </c>
      <c r="T14" s="591">
        <v>12</v>
      </c>
      <c r="U14" s="591">
        <v>1.7</v>
      </c>
      <c r="V14" s="591">
        <v>5.0999999999999996</v>
      </c>
      <c r="W14" s="591">
        <v>51</v>
      </c>
      <c r="X14" s="591">
        <v>5.7000000000000002E-2</v>
      </c>
      <c r="Y14" s="591">
        <v>3.7</v>
      </c>
      <c r="Z14" s="591">
        <v>3</v>
      </c>
      <c r="AA14" s="591">
        <v>50</v>
      </c>
      <c r="AB14" s="591">
        <v>0.89</v>
      </c>
      <c r="AC14" s="591">
        <v>1.2</v>
      </c>
      <c r="AD14" s="591">
        <v>0.22</v>
      </c>
      <c r="AE14" s="591">
        <v>0.55000000000000004</v>
      </c>
      <c r="AF14" s="591">
        <v>1.3</v>
      </c>
      <c r="AG14" s="624">
        <f t="shared" si="31"/>
        <v>3.0000000000000001E-3</v>
      </c>
      <c r="AH14" s="591">
        <v>3.7</v>
      </c>
      <c r="AI14" s="591">
        <v>7.9000000000000001E-2</v>
      </c>
      <c r="AJ14" s="591">
        <v>7.0999999999999994E-2</v>
      </c>
      <c r="AK14" s="624">
        <f t="shared" si="32"/>
        <v>6.0000000000000001E-3</v>
      </c>
      <c r="AL14" s="559">
        <v>1.1000000000000001E-3</v>
      </c>
      <c r="AM14" s="559">
        <v>0.21</v>
      </c>
      <c r="AN14" s="628">
        <f t="shared" si="33"/>
        <v>8.0000000000000004E-4</v>
      </c>
      <c r="AO14" s="628">
        <f t="shared" si="34"/>
        <v>4.6000000000000001E-4</v>
      </c>
      <c r="AP14" s="591">
        <v>5.0999999999999996</v>
      </c>
      <c r="AQ14" s="32"/>
      <c r="AR14" s="623">
        <f t="shared" si="35"/>
        <v>1.2999999999999999E-2</v>
      </c>
      <c r="AS14" s="592">
        <v>1.4</v>
      </c>
      <c r="AT14" s="592">
        <v>1</v>
      </c>
      <c r="AU14" s="592">
        <v>0.63</v>
      </c>
      <c r="AV14" s="592">
        <v>1.3</v>
      </c>
      <c r="AW14" s="591">
        <v>1.3</v>
      </c>
      <c r="AX14" s="559">
        <v>1.8</v>
      </c>
      <c r="AY14" s="559">
        <v>1.7999999999999999E-2</v>
      </c>
      <c r="AZ14" s="559">
        <v>4.3</v>
      </c>
      <c r="BA14" s="559">
        <v>1.8</v>
      </c>
      <c r="BB14" s="605">
        <v>4</v>
      </c>
      <c r="BC14" s="619">
        <f t="shared" si="3"/>
        <v>1.01</v>
      </c>
      <c r="BD14" s="610">
        <f t="shared" si="4"/>
        <v>1.0099999999999998</v>
      </c>
      <c r="BF14" s="610">
        <f t="shared" si="5"/>
        <v>1.5492957746478873E-3</v>
      </c>
      <c r="BG14" s="610">
        <f t="shared" si="6"/>
        <v>8.5483870967741928E-4</v>
      </c>
      <c r="BH14" s="610">
        <f t="shared" si="7"/>
        <v>0.18333333333333335</v>
      </c>
      <c r="BI14" s="610">
        <f t="shared" si="8"/>
        <v>6.0869565217391312E-3</v>
      </c>
      <c r="BJ14" s="610">
        <f t="shared" si="9"/>
        <v>0.20555555555555557</v>
      </c>
      <c r="BK14" s="610">
        <f t="shared" si="10"/>
        <v>2.5641025641025641E-3</v>
      </c>
      <c r="BL14" s="610">
        <f t="shared" si="11"/>
        <v>6.2551440329218109E-4</v>
      </c>
      <c r="BM14" s="610">
        <f t="shared" si="12"/>
        <v>1.7000000000000001E-3</v>
      </c>
      <c r="BN14" s="563">
        <f t="shared" si="13"/>
        <v>185.73746781765865</v>
      </c>
      <c r="BO14" s="563">
        <f t="shared" si="14"/>
        <v>216.53212904468944</v>
      </c>
      <c r="BP14" s="611">
        <f t="shared" si="15"/>
        <v>0.85778248538499724</v>
      </c>
      <c r="BR14" s="564">
        <f t="shared" si="16"/>
        <v>12.100000000000001</v>
      </c>
      <c r="BS14" s="564">
        <f t="shared" si="17"/>
        <v>6.837E-2</v>
      </c>
      <c r="BT14" s="564">
        <f t="shared" si="18"/>
        <v>0.35000000000000003</v>
      </c>
      <c r="BU14" s="564">
        <f t="shared" si="19"/>
        <v>6.88</v>
      </c>
      <c r="BV14" s="564">
        <f t="shared" si="20"/>
        <v>1.8</v>
      </c>
      <c r="BW14" s="564">
        <f t="shared" si="21"/>
        <v>8.6386000000000004E-2</v>
      </c>
      <c r="BX14" s="564">
        <f t="shared" si="0"/>
        <v>0.12459999999999999</v>
      </c>
      <c r="BY14" s="564">
        <f t="shared" si="22"/>
        <v>7.0379999999999984E-2</v>
      </c>
      <c r="BZ14" s="564">
        <f t="shared" si="23"/>
        <v>2.0039999999999997E-3</v>
      </c>
      <c r="CA14" s="564">
        <f t="shared" si="24"/>
        <v>21.481740000000002</v>
      </c>
      <c r="CB14" s="611">
        <f t="shared" si="25"/>
        <v>0.77272446043165477</v>
      </c>
      <c r="CC14" s="610"/>
      <c r="CD14" s="610">
        <f t="shared" si="26"/>
        <v>0.70491803278688525</v>
      </c>
      <c r="CE14" s="610">
        <f t="shared" si="27"/>
        <v>0.93023255813953487</v>
      </c>
      <c r="CF14" s="610">
        <f t="shared" si="36"/>
        <v>0</v>
      </c>
      <c r="CG14" s="610">
        <f t="shared" si="37"/>
        <v>1.8179999999999998</v>
      </c>
    </row>
    <row r="15" spans="2:85" ht="20.149999999999999" customHeight="1" x14ac:dyDescent="0.2">
      <c r="B15" s="31" t="s">
        <v>643</v>
      </c>
      <c r="C15" s="32" t="s">
        <v>636</v>
      </c>
      <c r="D15" s="559">
        <v>24.2</v>
      </c>
      <c r="E15" s="623">
        <f t="shared" si="28"/>
        <v>5.5E-2</v>
      </c>
      <c r="F15" s="624">
        <f>0.5*0.052</f>
        <v>2.5999999999999999E-2</v>
      </c>
      <c r="G15" s="591">
        <v>8.1</v>
      </c>
      <c r="H15" s="646">
        <f>0.5*0.092</f>
        <v>4.5999999999999999E-2</v>
      </c>
      <c r="I15" s="591">
        <v>3.6</v>
      </c>
      <c r="J15" s="591">
        <v>9.6000000000000002E-2</v>
      </c>
      <c r="K15" s="624">
        <f>0.5*0.0028</f>
        <v>1.4E-3</v>
      </c>
      <c r="L15" s="633">
        <f t="shared" si="29"/>
        <v>3.4000000000000002E-2</v>
      </c>
      <c r="M15" s="599">
        <v>85</v>
      </c>
      <c r="N15" s="624">
        <f>0.5*7.7</f>
        <v>3.85</v>
      </c>
      <c r="O15" s="591">
        <v>23</v>
      </c>
      <c r="P15" s="591">
        <v>110</v>
      </c>
      <c r="Q15" s="624">
        <f>0.5*14</f>
        <v>7</v>
      </c>
      <c r="R15" s="624">
        <f t="shared" si="30"/>
        <v>4.5999999999999999E-3</v>
      </c>
      <c r="S15" s="591">
        <v>0.53</v>
      </c>
      <c r="T15" s="591">
        <v>12</v>
      </c>
      <c r="U15" s="591">
        <v>0.56999999999999995</v>
      </c>
      <c r="V15" s="591">
        <v>4.4000000000000004</v>
      </c>
      <c r="W15" s="591">
        <v>27</v>
      </c>
      <c r="X15" s="591">
        <v>0.05</v>
      </c>
      <c r="Y15" s="591">
        <v>3.5</v>
      </c>
      <c r="Z15" s="591">
        <v>2.2999999999999998</v>
      </c>
      <c r="AA15" s="591">
        <v>9.5</v>
      </c>
      <c r="AB15" s="591">
        <v>1.2</v>
      </c>
      <c r="AC15" s="591">
        <v>1</v>
      </c>
      <c r="AD15" s="591">
        <v>0.17</v>
      </c>
      <c r="AE15" s="591">
        <v>0.57999999999999996</v>
      </c>
      <c r="AF15" s="591">
        <v>0.77</v>
      </c>
      <c r="AG15" s="624">
        <f t="shared" si="31"/>
        <v>3.0000000000000001E-3</v>
      </c>
      <c r="AH15" s="591">
        <v>2.5</v>
      </c>
      <c r="AI15" s="591">
        <v>4.4999999999999998E-2</v>
      </c>
      <c r="AJ15" s="591">
        <v>0.05</v>
      </c>
      <c r="AK15" s="624">
        <f t="shared" si="32"/>
        <v>6.0000000000000001E-3</v>
      </c>
      <c r="AL15" s="628">
        <f>0.5*0.001</f>
        <v>5.0000000000000001E-4</v>
      </c>
      <c r="AM15" s="559">
        <v>0.15</v>
      </c>
      <c r="AN15" s="628">
        <f t="shared" si="33"/>
        <v>8.0000000000000004E-4</v>
      </c>
      <c r="AO15" s="628">
        <f t="shared" si="34"/>
        <v>4.6000000000000001E-4</v>
      </c>
      <c r="AP15" s="591">
        <v>5.2</v>
      </c>
      <c r="AQ15" s="32"/>
      <c r="AR15" s="623">
        <f t="shared" si="35"/>
        <v>1.2999999999999999E-2</v>
      </c>
      <c r="AS15" s="592">
        <v>1.2</v>
      </c>
      <c r="AT15" s="592">
        <v>0.75</v>
      </c>
      <c r="AU15" s="592">
        <v>0.53</v>
      </c>
      <c r="AV15" s="592">
        <v>0.99</v>
      </c>
      <c r="AW15" s="591">
        <v>1.1000000000000001</v>
      </c>
      <c r="AX15" s="559">
        <v>1.5</v>
      </c>
      <c r="AY15" s="559">
        <v>5.8000000000000003E-2</v>
      </c>
      <c r="AZ15" s="559">
        <v>3.5</v>
      </c>
      <c r="BA15" s="559">
        <v>1.7</v>
      </c>
      <c r="BB15" s="605">
        <v>3.9</v>
      </c>
      <c r="BC15" s="619">
        <f t="shared" si="3"/>
        <v>0.995142857142857</v>
      </c>
      <c r="BD15" s="610">
        <f t="shared" si="4"/>
        <v>0.98117647058823532</v>
      </c>
      <c r="BF15" s="610">
        <f t="shared" si="5"/>
        <v>1.5492957746478873E-3</v>
      </c>
      <c r="BG15" s="610">
        <f t="shared" si="6"/>
        <v>4.1935483870967738E-4</v>
      </c>
      <c r="BH15" s="610">
        <f t="shared" si="7"/>
        <v>0.16874999999999998</v>
      </c>
      <c r="BI15" s="610">
        <f t="shared" si="8"/>
        <v>2E-3</v>
      </c>
      <c r="BJ15" s="610">
        <f t="shared" si="9"/>
        <v>0.2</v>
      </c>
      <c r="BK15" s="610">
        <f t="shared" si="10"/>
        <v>2.4615384615384616E-3</v>
      </c>
      <c r="BL15" s="610">
        <f t="shared" si="11"/>
        <v>1.1522633744855967E-4</v>
      </c>
      <c r="BM15" s="610">
        <f t="shared" si="12"/>
        <v>1.7000000000000001E-3</v>
      </c>
      <c r="BN15" s="563">
        <f t="shared" si="13"/>
        <v>170.71865061335757</v>
      </c>
      <c r="BO15" s="563">
        <f t="shared" si="14"/>
        <v>206.27676479898705</v>
      </c>
      <c r="BP15" s="611">
        <f t="shared" si="15"/>
        <v>0.82761939174157495</v>
      </c>
      <c r="BR15" s="564">
        <f t="shared" si="16"/>
        <v>11.137499999999999</v>
      </c>
      <c r="BS15" s="564">
        <f t="shared" si="17"/>
        <v>3.354E-2</v>
      </c>
      <c r="BT15" s="564">
        <f t="shared" si="18"/>
        <v>0.11499999999999999</v>
      </c>
      <c r="BU15" s="564">
        <f t="shared" si="19"/>
        <v>5.6000000000000005</v>
      </c>
      <c r="BV15" s="564">
        <f t="shared" si="20"/>
        <v>1.7</v>
      </c>
      <c r="BW15" s="564">
        <f t="shared" si="21"/>
        <v>3.5381500000000003E-2</v>
      </c>
      <c r="BX15" s="564">
        <f t="shared" si="0"/>
        <v>9.7999999999999997E-3</v>
      </c>
      <c r="BY15" s="564">
        <f t="shared" si="22"/>
        <v>3.7259999999999995E-2</v>
      </c>
      <c r="BZ15" s="564">
        <f t="shared" si="23"/>
        <v>8.8509999999999988E-4</v>
      </c>
      <c r="CA15" s="564">
        <f t="shared" si="24"/>
        <v>18.6693666</v>
      </c>
      <c r="CB15" s="611">
        <f t="shared" si="25"/>
        <v>0.77146142975206611</v>
      </c>
      <c r="CC15" s="610"/>
      <c r="CD15" s="610">
        <f t="shared" si="26"/>
        <v>0.67307692307692302</v>
      </c>
      <c r="CE15" s="610">
        <f t="shared" si="27"/>
        <v>1.1142857142857143</v>
      </c>
      <c r="CF15" s="610">
        <f t="shared" si="36"/>
        <v>0.1100000000000001</v>
      </c>
      <c r="CG15" s="610">
        <f t="shared" si="37"/>
        <v>1.5580000000000001</v>
      </c>
    </row>
    <row r="16" spans="2:85" ht="20.149999999999999" customHeight="1" x14ac:dyDescent="0.2">
      <c r="B16" s="31" t="s">
        <v>643</v>
      </c>
      <c r="C16" s="32" t="s">
        <v>637</v>
      </c>
      <c r="D16" s="559">
        <v>35.200000000000003</v>
      </c>
      <c r="E16" s="623">
        <f t="shared" si="28"/>
        <v>5.5E-2</v>
      </c>
      <c r="F16" s="624">
        <f>0.5*0.052</f>
        <v>2.5999999999999999E-2</v>
      </c>
      <c r="G16" s="591">
        <v>15</v>
      </c>
      <c r="H16" s="592">
        <v>9.7000000000000003E-2</v>
      </c>
      <c r="I16" s="591">
        <v>6.7</v>
      </c>
      <c r="J16" s="591">
        <v>0.14000000000000001</v>
      </c>
      <c r="K16" s="591">
        <v>3.0999999999999999E-3</v>
      </c>
      <c r="L16" s="633">
        <f t="shared" si="29"/>
        <v>3.4000000000000002E-2</v>
      </c>
      <c r="M16" s="599">
        <v>140</v>
      </c>
      <c r="N16" s="591">
        <v>9.8000000000000007</v>
      </c>
      <c r="O16" s="591">
        <v>23</v>
      </c>
      <c r="P16" s="591">
        <v>160</v>
      </c>
      <c r="Q16" s="624">
        <f>0.5*14</f>
        <v>7</v>
      </c>
      <c r="R16" s="624">
        <f t="shared" si="30"/>
        <v>4.5999999999999999E-3</v>
      </c>
      <c r="S16" s="591">
        <v>1.1000000000000001</v>
      </c>
      <c r="T16" s="591">
        <v>24</v>
      </c>
      <c r="U16" s="591">
        <v>1.8</v>
      </c>
      <c r="V16" s="591">
        <v>6.1</v>
      </c>
      <c r="W16" s="591">
        <v>48</v>
      </c>
      <c r="X16" s="591">
        <v>0.1</v>
      </c>
      <c r="Y16" s="591">
        <v>7.3</v>
      </c>
      <c r="Z16" s="591">
        <v>4.9000000000000004</v>
      </c>
      <c r="AA16" s="591">
        <v>23</v>
      </c>
      <c r="AB16" s="591">
        <v>2.1</v>
      </c>
      <c r="AC16" s="591">
        <v>1.6</v>
      </c>
      <c r="AD16" s="591">
        <v>0.28000000000000003</v>
      </c>
      <c r="AE16" s="591">
        <v>1.3</v>
      </c>
      <c r="AF16" s="591">
        <v>1.2</v>
      </c>
      <c r="AG16" s="624">
        <f t="shared" si="31"/>
        <v>3.0000000000000001E-3</v>
      </c>
      <c r="AH16" s="591">
        <v>3.8</v>
      </c>
      <c r="AI16" s="591">
        <v>0.08</v>
      </c>
      <c r="AJ16" s="591">
        <v>9.1999999999999998E-2</v>
      </c>
      <c r="AK16" s="624">
        <f t="shared" si="32"/>
        <v>6.0000000000000001E-3</v>
      </c>
      <c r="AL16" s="628">
        <f>0.5*0.001</f>
        <v>5.0000000000000001E-4</v>
      </c>
      <c r="AM16" s="559">
        <v>0.37</v>
      </c>
      <c r="AN16" s="628">
        <f t="shared" si="33"/>
        <v>8.0000000000000004E-4</v>
      </c>
      <c r="AO16" s="628">
        <f t="shared" si="34"/>
        <v>4.6000000000000001E-4</v>
      </c>
      <c r="AP16" s="591">
        <v>9.5</v>
      </c>
      <c r="AQ16" s="32"/>
      <c r="AR16" s="623">
        <f t="shared" si="35"/>
        <v>1.2999999999999999E-2</v>
      </c>
      <c r="AS16" s="592">
        <v>1.3</v>
      </c>
      <c r="AT16" s="592">
        <v>0.74</v>
      </c>
      <c r="AU16" s="592">
        <v>0.55000000000000004</v>
      </c>
      <c r="AV16" s="592">
        <v>1.1000000000000001</v>
      </c>
      <c r="AW16" s="591">
        <v>1.3</v>
      </c>
      <c r="AX16" s="559">
        <v>1.6</v>
      </c>
      <c r="AY16" s="559">
        <v>2.5999999999999999E-2</v>
      </c>
      <c r="AZ16" s="559">
        <v>3.7</v>
      </c>
      <c r="BA16" s="559">
        <v>1.8</v>
      </c>
      <c r="BB16" s="605">
        <v>4.0999999999999996</v>
      </c>
      <c r="BC16" s="619">
        <f t="shared" si="3"/>
        <v>1.0008108108108107</v>
      </c>
      <c r="BD16" s="610">
        <f t="shared" si="4"/>
        <v>1.0144444444444445</v>
      </c>
      <c r="BF16" s="610">
        <f t="shared" si="5"/>
        <v>1.5492957746478873E-3</v>
      </c>
      <c r="BG16" s="610">
        <f t="shared" si="6"/>
        <v>4.1935483870967738E-4</v>
      </c>
      <c r="BH16" s="610">
        <f t="shared" si="7"/>
        <v>0.3125</v>
      </c>
      <c r="BI16" s="610">
        <f t="shared" si="8"/>
        <v>4.2173913043478265E-3</v>
      </c>
      <c r="BJ16" s="610">
        <f t="shared" si="9"/>
        <v>0.37222222222222223</v>
      </c>
      <c r="BK16" s="610">
        <f t="shared" si="10"/>
        <v>3.5897435897435902E-3</v>
      </c>
      <c r="BL16" s="610">
        <f t="shared" si="11"/>
        <v>2.5514403292181069E-4</v>
      </c>
      <c r="BM16" s="610">
        <f t="shared" si="12"/>
        <v>1.7000000000000001E-3</v>
      </c>
      <c r="BN16" s="563">
        <f t="shared" si="13"/>
        <v>314.46865061335757</v>
      </c>
      <c r="BO16" s="563">
        <f t="shared" si="14"/>
        <v>381.98450114923543</v>
      </c>
      <c r="BP16" s="611">
        <f t="shared" si="15"/>
        <v>0.8232497644989516</v>
      </c>
      <c r="BR16" s="564">
        <f t="shared" si="16"/>
        <v>20.625</v>
      </c>
      <c r="BS16" s="564">
        <f t="shared" si="17"/>
        <v>3.354E-2</v>
      </c>
      <c r="BT16" s="564">
        <f t="shared" si="18"/>
        <v>0.24249999999999999</v>
      </c>
      <c r="BU16" s="564">
        <f t="shared" si="19"/>
        <v>5.9200000000000008</v>
      </c>
      <c r="BV16" s="564">
        <f t="shared" si="20"/>
        <v>1.8</v>
      </c>
      <c r="BW16" s="564">
        <f t="shared" si="21"/>
        <v>9.0062000000000003E-2</v>
      </c>
      <c r="BX16" s="564">
        <f t="shared" si="0"/>
        <v>9.7999999999999997E-3</v>
      </c>
      <c r="BY16" s="564">
        <f t="shared" si="22"/>
        <v>6.6239999999999993E-2</v>
      </c>
      <c r="BZ16" s="564">
        <f t="shared" si="23"/>
        <v>1.8370000000000001E-3</v>
      </c>
      <c r="CA16" s="564">
        <f t="shared" si="24"/>
        <v>28.788978999999998</v>
      </c>
      <c r="CB16" s="611">
        <f t="shared" si="25"/>
        <v>0.81786872159090895</v>
      </c>
      <c r="CC16" s="610"/>
      <c r="CD16" s="610">
        <f t="shared" si="26"/>
        <v>0.67272727272727273</v>
      </c>
      <c r="CE16" s="610">
        <f t="shared" si="27"/>
        <v>1.1081081081081079</v>
      </c>
      <c r="CF16" s="610">
        <f t="shared" si="36"/>
        <v>0.19999999999999996</v>
      </c>
      <c r="CG16" s="610">
        <f t="shared" si="37"/>
        <v>1.6260000000000001</v>
      </c>
    </row>
    <row r="17" spans="2:85" ht="20.149999999999999" customHeight="1" x14ac:dyDescent="0.2">
      <c r="B17" s="31" t="s">
        <v>643</v>
      </c>
      <c r="C17" s="32" t="s">
        <v>638</v>
      </c>
      <c r="D17" s="559">
        <v>29.4</v>
      </c>
      <c r="E17" s="623">
        <f t="shared" si="28"/>
        <v>5.5E-2</v>
      </c>
      <c r="F17" s="624">
        <f>0.5*0.052</f>
        <v>2.5999999999999999E-2</v>
      </c>
      <c r="G17" s="591">
        <v>12</v>
      </c>
      <c r="H17" s="646">
        <f>0.5*0.092</f>
        <v>4.5999999999999999E-2</v>
      </c>
      <c r="I17" s="591">
        <v>4.9000000000000004</v>
      </c>
      <c r="J17" s="591">
        <v>0.27</v>
      </c>
      <c r="K17" s="591">
        <v>1.2E-2</v>
      </c>
      <c r="L17" s="633">
        <f t="shared" si="29"/>
        <v>3.4000000000000002E-2</v>
      </c>
      <c r="M17" s="599">
        <v>110</v>
      </c>
      <c r="N17" s="591">
        <v>22</v>
      </c>
      <c r="O17" s="591">
        <v>19</v>
      </c>
      <c r="P17" s="591">
        <v>370</v>
      </c>
      <c r="Q17" s="591">
        <v>150</v>
      </c>
      <c r="R17" s="624">
        <f t="shared" si="30"/>
        <v>4.5999999999999999E-3</v>
      </c>
      <c r="S17" s="591">
        <v>1.3</v>
      </c>
      <c r="T17" s="591">
        <v>13</v>
      </c>
      <c r="U17" s="591">
        <v>1.3</v>
      </c>
      <c r="V17" s="591">
        <v>5.0999999999999996</v>
      </c>
      <c r="W17" s="591">
        <v>45</v>
      </c>
      <c r="X17" s="591">
        <v>8.5000000000000006E-2</v>
      </c>
      <c r="Y17" s="591">
        <v>4.2</v>
      </c>
      <c r="Z17" s="591">
        <v>6.5</v>
      </c>
      <c r="AA17" s="591">
        <v>62</v>
      </c>
      <c r="AB17" s="591">
        <v>2.2000000000000002</v>
      </c>
      <c r="AC17" s="591">
        <v>1.6</v>
      </c>
      <c r="AD17" s="591">
        <v>0.36</v>
      </c>
      <c r="AE17" s="591">
        <v>0.59</v>
      </c>
      <c r="AF17" s="591">
        <v>1.1000000000000001</v>
      </c>
      <c r="AG17" s="624">
        <f t="shared" si="31"/>
        <v>3.0000000000000001E-3</v>
      </c>
      <c r="AH17" s="591">
        <v>15</v>
      </c>
      <c r="AI17" s="591">
        <v>5.5E-2</v>
      </c>
      <c r="AJ17" s="591">
        <v>6.5000000000000002E-2</v>
      </c>
      <c r="AK17" s="624">
        <f t="shared" si="32"/>
        <v>6.0000000000000001E-3</v>
      </c>
      <c r="AL17" s="628">
        <f>0.5*0.001</f>
        <v>5.0000000000000001E-4</v>
      </c>
      <c r="AM17" s="559">
        <v>0.21</v>
      </c>
      <c r="AN17" s="628">
        <f t="shared" si="33"/>
        <v>8.0000000000000004E-4</v>
      </c>
      <c r="AO17" s="628">
        <f t="shared" si="34"/>
        <v>4.6000000000000001E-4</v>
      </c>
      <c r="AP17" s="591">
        <v>9.1</v>
      </c>
      <c r="AQ17" s="32"/>
      <c r="AR17" s="623">
        <f t="shared" si="35"/>
        <v>1.2999999999999999E-2</v>
      </c>
      <c r="AS17" s="592">
        <v>1.2</v>
      </c>
      <c r="AT17" s="592">
        <v>0.72</v>
      </c>
      <c r="AU17" s="592">
        <v>0.7</v>
      </c>
      <c r="AV17" s="592">
        <v>1.2</v>
      </c>
      <c r="AW17" s="591">
        <v>1.3</v>
      </c>
      <c r="AX17" s="559">
        <v>1.3</v>
      </c>
      <c r="AY17" s="628">
        <f>0.5*0.016</f>
        <v>8.0000000000000002E-3</v>
      </c>
      <c r="AZ17" s="559">
        <v>3.8</v>
      </c>
      <c r="BA17" s="559">
        <v>1.4</v>
      </c>
      <c r="BB17" s="605">
        <v>4.4000000000000004</v>
      </c>
      <c r="BC17" s="619">
        <f t="shared" si="3"/>
        <v>1.0086842105263158</v>
      </c>
      <c r="BD17" s="610">
        <f t="shared" si="4"/>
        <v>1.0057142857142858</v>
      </c>
      <c r="BF17" s="610">
        <f t="shared" si="5"/>
        <v>1.5492957746478873E-3</v>
      </c>
      <c r="BG17" s="610">
        <f t="shared" si="6"/>
        <v>4.1935483870967738E-4</v>
      </c>
      <c r="BH17" s="610">
        <f t="shared" si="7"/>
        <v>0.25</v>
      </c>
      <c r="BI17" s="610">
        <f t="shared" si="8"/>
        <v>2E-3</v>
      </c>
      <c r="BJ17" s="610">
        <f t="shared" si="9"/>
        <v>0.27222222222222225</v>
      </c>
      <c r="BK17" s="610">
        <f t="shared" si="10"/>
        <v>6.9230769230769233E-3</v>
      </c>
      <c r="BL17" s="610">
        <f t="shared" si="11"/>
        <v>9.8765432098765434E-4</v>
      </c>
      <c r="BM17" s="610">
        <f t="shared" si="12"/>
        <v>1.7000000000000001E-3</v>
      </c>
      <c r="BN17" s="563">
        <f t="shared" si="13"/>
        <v>251.96865061335754</v>
      </c>
      <c r="BO17" s="563">
        <f t="shared" si="14"/>
        <v>283.83295346628677</v>
      </c>
      <c r="BP17" s="611">
        <f t="shared" si="15"/>
        <v>0.88773571756278113</v>
      </c>
      <c r="BR17" s="564">
        <f t="shared" si="16"/>
        <v>16.5</v>
      </c>
      <c r="BS17" s="564">
        <f t="shared" si="17"/>
        <v>3.354E-2</v>
      </c>
      <c r="BT17" s="564">
        <f t="shared" si="18"/>
        <v>0.11499999999999999</v>
      </c>
      <c r="BU17" s="564">
        <f t="shared" si="19"/>
        <v>6.08</v>
      </c>
      <c r="BV17" s="564">
        <f t="shared" si="20"/>
        <v>1.4</v>
      </c>
      <c r="BW17" s="564">
        <f t="shared" si="21"/>
        <v>0.20218</v>
      </c>
      <c r="BX17" s="564">
        <f t="shared" si="0"/>
        <v>0.21</v>
      </c>
      <c r="BY17" s="564">
        <f t="shared" si="22"/>
        <v>6.2099999999999995E-2</v>
      </c>
      <c r="BZ17" s="564">
        <f t="shared" si="23"/>
        <v>2.1709999999999998E-3</v>
      </c>
      <c r="CA17" s="564">
        <f t="shared" si="24"/>
        <v>24.604990999999995</v>
      </c>
      <c r="CB17" s="611">
        <f t="shared" si="25"/>
        <v>0.83690445578231276</v>
      </c>
      <c r="CC17" s="610"/>
      <c r="CD17" s="610">
        <f t="shared" si="26"/>
        <v>0.73076923076923084</v>
      </c>
      <c r="CE17" s="610">
        <f t="shared" si="27"/>
        <v>1.1578947368421053</v>
      </c>
      <c r="CF17" s="610">
        <f t="shared" si="36"/>
        <v>0.10000000000000009</v>
      </c>
      <c r="CG17" s="610">
        <f t="shared" si="37"/>
        <v>1.3080000000000001</v>
      </c>
    </row>
    <row r="18" spans="2:85" ht="20.149999999999999" customHeight="1" thickBot="1" x14ac:dyDescent="0.25">
      <c r="B18" s="39" t="s">
        <v>643</v>
      </c>
      <c r="C18" s="45" t="s">
        <v>639</v>
      </c>
      <c r="D18" s="560">
        <v>38</v>
      </c>
      <c r="E18" s="631">
        <f t="shared" si="28"/>
        <v>5.5E-2</v>
      </c>
      <c r="F18" s="626">
        <f>0.5*0.052</f>
        <v>2.5999999999999999E-2</v>
      </c>
      <c r="G18" s="593">
        <v>18</v>
      </c>
      <c r="H18" s="664">
        <f>0.5*0.092</f>
        <v>4.5999999999999999E-2</v>
      </c>
      <c r="I18" s="593">
        <v>7.7</v>
      </c>
      <c r="J18" s="593">
        <v>0.2</v>
      </c>
      <c r="K18" s="593">
        <v>8.6999999999999994E-3</v>
      </c>
      <c r="L18" s="634">
        <f t="shared" si="29"/>
        <v>3.4000000000000002E-2</v>
      </c>
      <c r="M18" s="600">
        <v>120</v>
      </c>
      <c r="N18" s="593">
        <v>20</v>
      </c>
      <c r="O18" s="593">
        <v>21</v>
      </c>
      <c r="P18" s="593">
        <v>260</v>
      </c>
      <c r="Q18" s="593">
        <v>110</v>
      </c>
      <c r="R18" s="626">
        <f t="shared" si="30"/>
        <v>4.5999999999999999E-3</v>
      </c>
      <c r="S18" s="593">
        <v>1.1000000000000001</v>
      </c>
      <c r="T18" s="593">
        <v>13</v>
      </c>
      <c r="U18" s="593">
        <v>1.5</v>
      </c>
      <c r="V18" s="593">
        <v>4.2</v>
      </c>
      <c r="W18" s="593">
        <v>41</v>
      </c>
      <c r="X18" s="593">
        <v>0.08</v>
      </c>
      <c r="Y18" s="593">
        <v>4.0999999999999996</v>
      </c>
      <c r="Z18" s="593">
        <v>5.5</v>
      </c>
      <c r="AA18" s="593">
        <v>63</v>
      </c>
      <c r="AB18" s="593">
        <v>2.6</v>
      </c>
      <c r="AC18" s="593">
        <v>1.9</v>
      </c>
      <c r="AD18" s="593">
        <v>0.37</v>
      </c>
      <c r="AE18" s="593">
        <v>0.61</v>
      </c>
      <c r="AF18" s="593">
        <v>0.86</v>
      </c>
      <c r="AG18" s="626">
        <f t="shared" si="31"/>
        <v>3.0000000000000001E-3</v>
      </c>
      <c r="AH18" s="593">
        <v>6.7</v>
      </c>
      <c r="AI18" s="593">
        <v>4.9000000000000002E-2</v>
      </c>
      <c r="AJ18" s="593">
        <v>0.05</v>
      </c>
      <c r="AK18" s="626">
        <f t="shared" si="32"/>
        <v>6.0000000000000001E-3</v>
      </c>
      <c r="AL18" s="629">
        <f>0.5*0.001</f>
        <v>5.0000000000000001E-4</v>
      </c>
      <c r="AM18" s="560">
        <v>0.11</v>
      </c>
      <c r="AN18" s="629">
        <f t="shared" si="33"/>
        <v>8.0000000000000004E-4</v>
      </c>
      <c r="AO18" s="560">
        <v>1.1999999999999999E-3</v>
      </c>
      <c r="AP18" s="593">
        <v>9.1</v>
      </c>
      <c r="AQ18" s="45"/>
      <c r="AR18" s="631">
        <f t="shared" si="35"/>
        <v>1.2999999999999999E-2</v>
      </c>
      <c r="AS18" s="594">
        <v>1.2</v>
      </c>
      <c r="AT18" s="594">
        <v>0.71</v>
      </c>
      <c r="AU18" s="594">
        <v>0.53</v>
      </c>
      <c r="AV18" s="594">
        <v>1</v>
      </c>
      <c r="AW18" s="593">
        <v>1.1000000000000001</v>
      </c>
      <c r="AX18" s="560">
        <v>1.5</v>
      </c>
      <c r="AY18" s="629">
        <f>0.5*0.016</f>
        <v>8.0000000000000002E-3</v>
      </c>
      <c r="AZ18" s="560">
        <v>3.4</v>
      </c>
      <c r="BA18" s="560">
        <v>1.6</v>
      </c>
      <c r="BB18" s="606">
        <v>2.4</v>
      </c>
      <c r="BC18" s="620">
        <f t="shared" si="3"/>
        <v>1.0155882352941177</v>
      </c>
      <c r="BD18" s="617">
        <f t="shared" si="4"/>
        <v>1.0049999999999999</v>
      </c>
      <c r="BE18" s="616"/>
      <c r="BF18" s="617">
        <f t="shared" si="5"/>
        <v>1.5492957746478873E-3</v>
      </c>
      <c r="BG18" s="617">
        <f t="shared" si="6"/>
        <v>4.1935483870967738E-4</v>
      </c>
      <c r="BH18" s="617">
        <f t="shared" si="7"/>
        <v>0.375</v>
      </c>
      <c r="BI18" s="617">
        <f t="shared" si="8"/>
        <v>2E-3</v>
      </c>
      <c r="BJ18" s="617">
        <f t="shared" si="9"/>
        <v>0.42777777777777781</v>
      </c>
      <c r="BK18" s="617">
        <f t="shared" si="10"/>
        <v>5.1282051282051282E-3</v>
      </c>
      <c r="BL18" s="617">
        <f t="shared" si="11"/>
        <v>7.1604938271604935E-4</v>
      </c>
      <c r="BM18" s="617">
        <f t="shared" si="12"/>
        <v>1.7000000000000001E-3</v>
      </c>
      <c r="BN18" s="621">
        <f t="shared" si="13"/>
        <v>376.96865061335757</v>
      </c>
      <c r="BO18" s="621">
        <f t="shared" si="14"/>
        <v>437.32203228869895</v>
      </c>
      <c r="BP18" s="618">
        <f t="shared" si="15"/>
        <v>0.86199327447673846</v>
      </c>
      <c r="BQ18" s="616"/>
      <c r="BR18" s="615">
        <f t="shared" si="16"/>
        <v>24.75</v>
      </c>
      <c r="BS18" s="615">
        <f t="shared" si="17"/>
        <v>3.354E-2</v>
      </c>
      <c r="BT18" s="615">
        <f t="shared" si="18"/>
        <v>0.11499999999999999</v>
      </c>
      <c r="BU18" s="615">
        <f t="shared" si="19"/>
        <v>5.44</v>
      </c>
      <c r="BV18" s="615">
        <f t="shared" si="20"/>
        <v>1.6</v>
      </c>
      <c r="BW18" s="615">
        <f t="shared" si="21"/>
        <v>0.18380000000000002</v>
      </c>
      <c r="BX18" s="615">
        <f t="shared" si="0"/>
        <v>0.154</v>
      </c>
      <c r="BY18" s="615">
        <f t="shared" si="22"/>
        <v>5.6579999999999998E-2</v>
      </c>
      <c r="BZ18" s="615">
        <f t="shared" si="23"/>
        <v>1.8370000000000001E-3</v>
      </c>
      <c r="CA18" s="615">
        <f t="shared" si="24"/>
        <v>32.334757000000003</v>
      </c>
      <c r="CB18" s="618">
        <f t="shared" si="25"/>
        <v>0.85091465789473697</v>
      </c>
      <c r="CC18" s="617"/>
      <c r="CD18" s="617">
        <f t="shared" si="26"/>
        <v>0.67999999999999994</v>
      </c>
      <c r="CE18" s="617">
        <f t="shared" si="27"/>
        <v>0.70588235294117652</v>
      </c>
      <c r="CF18" s="617">
        <f t="shared" si="36"/>
        <v>0.10000000000000009</v>
      </c>
      <c r="CG18" s="617">
        <f t="shared" si="37"/>
        <v>1.508</v>
      </c>
    </row>
    <row r="19" spans="2:85" ht="20.149999999999999" customHeight="1" x14ac:dyDescent="0.2">
      <c r="B19" s="31" t="s">
        <v>642</v>
      </c>
      <c r="C19" s="46" t="s">
        <v>640</v>
      </c>
      <c r="D19" s="561">
        <v>26</v>
      </c>
      <c r="E19" s="48" t="s">
        <v>67</v>
      </c>
      <c r="F19" s="49" t="s">
        <v>650</v>
      </c>
      <c r="G19" s="595">
        <v>12</v>
      </c>
      <c r="H19" s="50" t="s">
        <v>238</v>
      </c>
      <c r="I19" s="595">
        <v>5</v>
      </c>
      <c r="J19" s="595">
        <v>0.11</v>
      </c>
      <c r="K19" s="49" t="s">
        <v>649</v>
      </c>
      <c r="L19" s="37" t="s">
        <v>541</v>
      </c>
      <c r="M19" s="601">
        <v>120</v>
      </c>
      <c r="N19" s="595">
        <v>18</v>
      </c>
      <c r="O19" s="595">
        <v>23</v>
      </c>
      <c r="P19" s="595">
        <v>140</v>
      </c>
      <c r="Q19" s="595">
        <v>21</v>
      </c>
      <c r="R19" s="49" t="s">
        <v>328</v>
      </c>
      <c r="S19" s="595">
        <v>1.2</v>
      </c>
      <c r="T19" s="595">
        <v>8</v>
      </c>
      <c r="U19" s="595">
        <v>0.81</v>
      </c>
      <c r="V19" s="595">
        <v>5.0999999999999996</v>
      </c>
      <c r="W19" s="595">
        <v>37</v>
      </c>
      <c r="X19" s="595">
        <v>6.8000000000000005E-2</v>
      </c>
      <c r="Y19" s="595">
        <v>2.5</v>
      </c>
      <c r="Z19" s="595">
        <v>6.9</v>
      </c>
      <c r="AA19" s="595">
        <v>28</v>
      </c>
      <c r="AB19" s="595">
        <v>2.6</v>
      </c>
      <c r="AC19" s="595">
        <v>1.8</v>
      </c>
      <c r="AD19" s="595">
        <v>0.38</v>
      </c>
      <c r="AE19" s="595">
        <v>0.49</v>
      </c>
      <c r="AF19" s="595">
        <v>0.99</v>
      </c>
      <c r="AG19" s="49" t="s">
        <v>335</v>
      </c>
      <c r="AH19" s="595">
        <v>2.5</v>
      </c>
      <c r="AI19" s="595">
        <v>4.8000000000000001E-2</v>
      </c>
      <c r="AJ19" s="595">
        <v>5.3999999999999999E-2</v>
      </c>
      <c r="AK19" s="49" t="s">
        <v>298</v>
      </c>
      <c r="AL19" s="47" t="s">
        <v>647</v>
      </c>
      <c r="AM19" s="561">
        <v>0.14000000000000001</v>
      </c>
      <c r="AN19" s="47" t="s">
        <v>648</v>
      </c>
      <c r="AO19" s="561">
        <v>1.6999999999999999E-3</v>
      </c>
      <c r="AP19" s="595">
        <v>11</v>
      </c>
      <c r="AQ19" s="37"/>
      <c r="AR19" s="48" t="s">
        <v>552</v>
      </c>
      <c r="AS19" s="596">
        <v>0.89</v>
      </c>
      <c r="AT19" s="596">
        <v>0.49</v>
      </c>
      <c r="AU19" s="596">
        <v>0.38</v>
      </c>
      <c r="AV19" s="596">
        <v>0.91</v>
      </c>
      <c r="AW19" s="595">
        <v>0.89</v>
      </c>
      <c r="AX19" s="561">
        <v>1.1000000000000001</v>
      </c>
      <c r="AY19" s="561">
        <v>1.7000000000000001E-2</v>
      </c>
      <c r="AZ19" s="561">
        <v>2.7</v>
      </c>
      <c r="BA19" s="561">
        <v>1.1000000000000001</v>
      </c>
      <c r="BB19" s="607">
        <v>1.9</v>
      </c>
      <c r="BC19" s="619">
        <f t="shared" si="3"/>
        <v>0.98888888888888882</v>
      </c>
      <c r="BD19" s="610">
        <f t="shared" si="4"/>
        <v>0.9972727272727272</v>
      </c>
      <c r="BF19" s="610" t="e">
        <f t="shared" si="5"/>
        <v>#VALUE!</v>
      </c>
      <c r="BG19" s="610" t="e">
        <f t="shared" si="6"/>
        <v>#VALUE!</v>
      </c>
      <c r="BH19" s="610">
        <f t="shared" si="7"/>
        <v>0.25</v>
      </c>
      <c r="BI19" s="610" t="e">
        <f t="shared" si="8"/>
        <v>#VALUE!</v>
      </c>
      <c r="BJ19" s="610">
        <f t="shared" si="9"/>
        <v>0.27777777777777779</v>
      </c>
      <c r="BK19" s="610">
        <f t="shared" si="10"/>
        <v>2.8205128205128207E-3</v>
      </c>
      <c r="BL19" s="610" t="e">
        <f t="shared" si="11"/>
        <v>#VALUE!</v>
      </c>
      <c r="BM19" s="610" t="e">
        <f t="shared" si="12"/>
        <v>#VALUE!</v>
      </c>
      <c r="BN19" s="563" t="e">
        <f t="shared" si="13"/>
        <v>#VALUE!</v>
      </c>
      <c r="BO19" s="563" t="e">
        <f t="shared" si="14"/>
        <v>#VALUE!</v>
      </c>
      <c r="BP19" s="611" t="e">
        <f t="shared" si="15"/>
        <v>#VALUE!</v>
      </c>
      <c r="BR19" s="564">
        <f t="shared" si="16"/>
        <v>16.5</v>
      </c>
      <c r="BS19" s="564" t="e">
        <f t="shared" si="17"/>
        <v>#VALUE!</v>
      </c>
      <c r="BT19" s="564" t="e">
        <f t="shared" si="18"/>
        <v>#VALUE!</v>
      </c>
      <c r="BU19" s="564">
        <f t="shared" si="19"/>
        <v>4.32</v>
      </c>
      <c r="BV19" s="564">
        <f t="shared" si="20"/>
        <v>1.1000000000000001</v>
      </c>
      <c r="BW19" s="564">
        <f t="shared" si="21"/>
        <v>0.16542000000000001</v>
      </c>
      <c r="BX19" s="564">
        <f t="shared" si="0"/>
        <v>2.9399999999999999E-2</v>
      </c>
      <c r="BY19" s="564">
        <f t="shared" si="22"/>
        <v>5.1059999999999994E-2</v>
      </c>
      <c r="BZ19" s="564">
        <f t="shared" si="23"/>
        <v>2.0039999999999997E-3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0.71052631578947367</v>
      </c>
      <c r="CE19" s="610">
        <f t="shared" si="27"/>
        <v>0.70370370370370361</v>
      </c>
      <c r="CF19" s="610">
        <f t="shared" si="36"/>
        <v>0</v>
      </c>
      <c r="CG19" s="610">
        <f t="shared" si="37"/>
        <v>1.097</v>
      </c>
    </row>
    <row r="20" spans="2:85" ht="20.149999999999999" customHeight="1" x14ac:dyDescent="0.2">
      <c r="B20" s="21" t="s">
        <v>642</v>
      </c>
      <c r="C20" s="52" t="s">
        <v>641</v>
      </c>
      <c r="D20" s="562">
        <v>23.1</v>
      </c>
      <c r="E20" s="54" t="s">
        <v>67</v>
      </c>
      <c r="F20" s="55" t="s">
        <v>650</v>
      </c>
      <c r="G20" s="597">
        <v>10</v>
      </c>
      <c r="H20" s="56" t="s">
        <v>238</v>
      </c>
      <c r="I20" s="597">
        <v>4.4000000000000004</v>
      </c>
      <c r="J20" s="597">
        <v>0.13</v>
      </c>
      <c r="K20" s="55" t="s">
        <v>649</v>
      </c>
      <c r="L20" s="52" t="s">
        <v>541</v>
      </c>
      <c r="M20" s="602">
        <v>100</v>
      </c>
      <c r="N20" s="597">
        <v>17</v>
      </c>
      <c r="O20" s="597">
        <v>28</v>
      </c>
      <c r="P20" s="597">
        <v>160</v>
      </c>
      <c r="Q20" s="597">
        <v>120</v>
      </c>
      <c r="R20" s="55" t="s">
        <v>328</v>
      </c>
      <c r="S20" s="597">
        <v>1.2</v>
      </c>
      <c r="T20" s="597">
        <v>8.5</v>
      </c>
      <c r="U20" s="597">
        <v>2.4</v>
      </c>
      <c r="V20" s="597">
        <v>5.2</v>
      </c>
      <c r="W20" s="597">
        <v>38</v>
      </c>
      <c r="X20" s="597">
        <v>0.13</v>
      </c>
      <c r="Y20" s="597">
        <v>2.8</v>
      </c>
      <c r="Z20" s="597">
        <v>5.6</v>
      </c>
      <c r="AA20" s="597">
        <v>49</v>
      </c>
      <c r="AB20" s="597">
        <v>2.2000000000000002</v>
      </c>
      <c r="AC20" s="597">
        <v>1.6</v>
      </c>
      <c r="AD20" s="597">
        <v>0.3</v>
      </c>
      <c r="AE20" s="597">
        <v>0.5</v>
      </c>
      <c r="AF20" s="597">
        <v>0.91</v>
      </c>
      <c r="AG20" s="55" t="s">
        <v>335</v>
      </c>
      <c r="AH20" s="597">
        <v>2.8</v>
      </c>
      <c r="AI20" s="597">
        <v>4.5999999999999999E-2</v>
      </c>
      <c r="AJ20" s="597">
        <v>5.8000000000000003E-2</v>
      </c>
      <c r="AK20" s="55" t="s">
        <v>298</v>
      </c>
      <c r="AL20" s="53" t="s">
        <v>647</v>
      </c>
      <c r="AM20" s="562">
        <v>0.53</v>
      </c>
      <c r="AN20" s="53" t="s">
        <v>648</v>
      </c>
      <c r="AO20" s="53" t="s">
        <v>337</v>
      </c>
      <c r="AP20" s="597">
        <v>9.1</v>
      </c>
      <c r="AQ20" s="52"/>
      <c r="AR20" s="54" t="s">
        <v>552</v>
      </c>
      <c r="AS20" s="598">
        <v>0.75</v>
      </c>
      <c r="AT20" s="598">
        <v>0.42</v>
      </c>
      <c r="AU20" s="598">
        <v>0.33</v>
      </c>
      <c r="AV20" s="598">
        <v>0.75</v>
      </c>
      <c r="AW20" s="597">
        <v>0.76</v>
      </c>
      <c r="AX20" s="562">
        <v>0.91</v>
      </c>
      <c r="AY20" s="53" t="s">
        <v>285</v>
      </c>
      <c r="AZ20" s="562">
        <v>2.2000000000000002</v>
      </c>
      <c r="BA20" s="562">
        <v>0.92</v>
      </c>
      <c r="BB20" s="608">
        <v>2.6</v>
      </c>
      <c r="BC20" s="619">
        <f t="shared" si="3"/>
        <v>1.0227272727272727</v>
      </c>
      <c r="BD20" s="610">
        <f t="shared" si="4"/>
        <v>0.99999999999999989</v>
      </c>
      <c r="BF20" s="610" t="e">
        <f t="shared" si="5"/>
        <v>#VALUE!</v>
      </c>
      <c r="BG20" s="610" t="e">
        <f t="shared" si="6"/>
        <v>#VALUE!</v>
      </c>
      <c r="BH20" s="610">
        <f t="shared" si="7"/>
        <v>0.20833333333333334</v>
      </c>
      <c r="BI20" s="610" t="e">
        <f t="shared" si="8"/>
        <v>#VALUE!</v>
      </c>
      <c r="BJ20" s="610">
        <f t="shared" si="9"/>
        <v>0.24444444444444446</v>
      </c>
      <c r="BK20" s="610">
        <f t="shared" si="10"/>
        <v>3.3333333333333335E-3</v>
      </c>
      <c r="BL20" s="610" t="e">
        <f t="shared" si="11"/>
        <v>#VALUE!</v>
      </c>
      <c r="BM20" s="610" t="e">
        <f t="shared" si="12"/>
        <v>#VALUE!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13.75</v>
      </c>
      <c r="BS20" s="564" t="e">
        <f t="shared" si="17"/>
        <v>#VALUE!</v>
      </c>
      <c r="BT20" s="564" t="e">
        <f t="shared" si="18"/>
        <v>#VALUE!</v>
      </c>
      <c r="BU20" s="564">
        <f t="shared" si="19"/>
        <v>3.5200000000000005</v>
      </c>
      <c r="BV20" s="564">
        <f t="shared" si="20"/>
        <v>0.92</v>
      </c>
      <c r="BW20" s="564">
        <f t="shared" si="21"/>
        <v>0.15623000000000001</v>
      </c>
      <c r="BX20" s="564">
        <f t="shared" si="0"/>
        <v>0.16799999999999998</v>
      </c>
      <c r="BY20" s="564">
        <f t="shared" si="22"/>
        <v>5.2439999999999994E-2</v>
      </c>
      <c r="BZ20" s="564">
        <f t="shared" si="23"/>
        <v>2.0039999999999997E-3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0.70512820512820518</v>
      </c>
      <c r="CE20" s="610">
        <f t="shared" si="27"/>
        <v>1.1818181818181817</v>
      </c>
      <c r="CF20" s="610">
        <f t="shared" si="36"/>
        <v>1.0000000000000009E-2</v>
      </c>
      <c r="CG20" s="610" t="e">
        <f t="shared" si="37"/>
        <v>#VALUE!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26.942857142857143</v>
      </c>
      <c r="E21" s="541">
        <f t="shared" ref="E21:BB21" si="38">AVERAGE(E12:E18)</f>
        <v>5.5E-2</v>
      </c>
      <c r="F21" s="541">
        <f t="shared" si="38"/>
        <v>8.4142857142857158E-2</v>
      </c>
      <c r="G21" s="540">
        <f t="shared" si="38"/>
        <v>10.1</v>
      </c>
      <c r="H21" s="541">
        <f t="shared" si="38"/>
        <v>0.14071428571428574</v>
      </c>
      <c r="I21" s="540">
        <f t="shared" si="38"/>
        <v>4.2857142857142856</v>
      </c>
      <c r="J21" s="541">
        <f t="shared" si="38"/>
        <v>0.13914285714285715</v>
      </c>
      <c r="K21" s="541">
        <f t="shared" si="38"/>
        <v>1.3399999999999999E-2</v>
      </c>
      <c r="L21" s="541">
        <f t="shared" si="38"/>
        <v>3.4000000000000002E-2</v>
      </c>
      <c r="M21" s="540">
        <f t="shared" si="38"/>
        <v>237.85714285714286</v>
      </c>
      <c r="N21" s="540">
        <f t="shared" si="38"/>
        <v>12.414285714285715</v>
      </c>
      <c r="O21" s="540">
        <f t="shared" si="38"/>
        <v>21.571428571428573</v>
      </c>
      <c r="P21" s="540">
        <f t="shared" si="38"/>
        <v>177.85714285714286</v>
      </c>
      <c r="Q21" s="540">
        <f t="shared" si="38"/>
        <v>97.285714285714292</v>
      </c>
      <c r="R21" s="540">
        <f t="shared" si="38"/>
        <v>4.5999999999999999E-3</v>
      </c>
      <c r="S21" s="540">
        <f t="shared" si="38"/>
        <v>1.0471428571428572</v>
      </c>
      <c r="T21" s="540">
        <f t="shared" si="38"/>
        <v>12.442857142857141</v>
      </c>
      <c r="U21" s="540">
        <f t="shared" si="38"/>
        <v>1.4528571428571428</v>
      </c>
      <c r="V21" s="540">
        <f t="shared" si="38"/>
        <v>4.3285714285714283</v>
      </c>
      <c r="W21" s="540">
        <f t="shared" si="38"/>
        <v>38</v>
      </c>
      <c r="X21" s="540">
        <f t="shared" si="38"/>
        <v>6.3285714285714292E-2</v>
      </c>
      <c r="Y21" s="540">
        <f t="shared" si="38"/>
        <v>3.8714285714285714</v>
      </c>
      <c r="Z21" s="540">
        <f t="shared" si="38"/>
        <v>3.7571428571428567</v>
      </c>
      <c r="AA21" s="540">
        <f t="shared" si="38"/>
        <v>43.642857142857146</v>
      </c>
      <c r="AB21" s="540">
        <f t="shared" si="38"/>
        <v>1.4100000000000001</v>
      </c>
      <c r="AC21" s="541">
        <f t="shared" si="38"/>
        <v>1.2071428571428571</v>
      </c>
      <c r="AD21" s="541">
        <f t="shared" si="38"/>
        <v>0.2247142857142857</v>
      </c>
      <c r="AE21" s="541">
        <f t="shared" si="38"/>
        <v>0.62857142857142867</v>
      </c>
      <c r="AF21" s="541">
        <f t="shared" si="38"/>
        <v>0.93</v>
      </c>
      <c r="AG21" s="541">
        <f t="shared" si="38"/>
        <v>2.9999999999999996E-3</v>
      </c>
      <c r="AH21" s="541">
        <f t="shared" si="38"/>
        <v>5.4428571428571431</v>
      </c>
      <c r="AI21" s="541">
        <f t="shared" si="38"/>
        <v>5.671428571428571E-2</v>
      </c>
      <c r="AJ21" s="541">
        <f t="shared" si="38"/>
        <v>6.3142857142857139E-2</v>
      </c>
      <c r="AK21" s="541">
        <f t="shared" si="38"/>
        <v>5.9999999999999993E-3</v>
      </c>
      <c r="AL21" s="541">
        <f t="shared" si="38"/>
        <v>5.8571428571428576E-4</v>
      </c>
      <c r="AM21" s="541">
        <f t="shared" si="38"/>
        <v>0.19571428571428573</v>
      </c>
      <c r="AN21" s="541">
        <f t="shared" si="38"/>
        <v>8.0000000000000015E-4</v>
      </c>
      <c r="AO21" s="541">
        <f t="shared" si="38"/>
        <v>5.6571428571428571E-4</v>
      </c>
      <c r="AP21" s="541">
        <f t="shared" si="38"/>
        <v>6.0714285714285712</v>
      </c>
      <c r="AQ21" s="541" t="e">
        <f t="shared" si="38"/>
        <v>#DIV/0!</v>
      </c>
      <c r="AR21" s="540">
        <f t="shared" si="38"/>
        <v>1.2999999999999999E-2</v>
      </c>
      <c r="AS21" s="540">
        <f t="shared" si="38"/>
        <v>1.2485714285714287</v>
      </c>
      <c r="AT21" s="540">
        <f t="shared" si="38"/>
        <v>0.80428571428571427</v>
      </c>
      <c r="AU21" s="540">
        <f t="shared" si="38"/>
        <v>0.6</v>
      </c>
      <c r="AV21" s="540">
        <f t="shared" si="38"/>
        <v>1.1028571428571428</v>
      </c>
      <c r="AW21" s="540">
        <f t="shared" si="38"/>
        <v>1.1971428571428571</v>
      </c>
      <c r="AX21" s="540">
        <f t="shared" si="38"/>
        <v>1.3585714285714288</v>
      </c>
      <c r="AY21" s="540">
        <f t="shared" si="38"/>
        <v>2.3857142857142858E-2</v>
      </c>
      <c r="AZ21" s="540">
        <f t="shared" si="38"/>
        <v>3.7428571428571429</v>
      </c>
      <c r="BA21" s="540">
        <f t="shared" si="38"/>
        <v>1.4657142857142857</v>
      </c>
      <c r="BB21" s="540">
        <f t="shared" si="38"/>
        <v>3.6285714285714286</v>
      </c>
      <c r="CD21" s="691">
        <f>AVERAGE(CD12:CD18)</f>
        <v>0.72281927477322838</v>
      </c>
      <c r="CE21" s="691">
        <f>AVERAGE(CE12:CE18)</f>
        <v>0.95948621004523404</v>
      </c>
      <c r="CF21" s="691">
        <f>AVERAGE(CF12:CF18)</f>
        <v>9.4285714285714334E-2</v>
      </c>
      <c r="CG21" s="691">
        <f>AVERAGE(CG12:CG18)</f>
        <v>1.3824285714285713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21.628571428571433</v>
      </c>
      <c r="E22" s="545">
        <f t="shared" ref="E22:BB22" si="39">AVERAGE(E7:E20)</f>
        <v>5.5E-2</v>
      </c>
      <c r="F22" s="545">
        <f t="shared" si="39"/>
        <v>9.6416666666666664E-2</v>
      </c>
      <c r="G22" s="544">
        <f t="shared" si="39"/>
        <v>7.5314285714285711</v>
      </c>
      <c r="H22" s="545">
        <f t="shared" si="39"/>
        <v>0.15863636363636366</v>
      </c>
      <c r="I22" s="544">
        <f t="shared" si="39"/>
        <v>3.1721428571428576</v>
      </c>
      <c r="J22" s="545">
        <f t="shared" si="39"/>
        <v>0.14335714285714288</v>
      </c>
      <c r="K22" s="545">
        <f t="shared" si="39"/>
        <v>1.6781818181818179E-2</v>
      </c>
      <c r="L22" s="545">
        <f t="shared" si="39"/>
        <v>3.4000000000000002E-2</v>
      </c>
      <c r="M22" s="544">
        <f t="shared" si="39"/>
        <v>220.21428571428572</v>
      </c>
      <c r="N22" s="544">
        <f t="shared" si="39"/>
        <v>17.278571428571428</v>
      </c>
      <c r="O22" s="544">
        <f t="shared" si="39"/>
        <v>19.071428571428573</v>
      </c>
      <c r="P22" s="544">
        <f t="shared" si="39"/>
        <v>182.14285714285714</v>
      </c>
      <c r="Q22" s="544">
        <f t="shared" si="39"/>
        <v>97.642857142857139</v>
      </c>
      <c r="R22" s="544">
        <f t="shared" si="39"/>
        <v>4.5999999999999999E-3</v>
      </c>
      <c r="S22" s="544">
        <f t="shared" si="39"/>
        <v>1.0533333333333332</v>
      </c>
      <c r="T22" s="544">
        <f t="shared" si="39"/>
        <v>9.8071428571428587</v>
      </c>
      <c r="U22" s="544">
        <f t="shared" si="39"/>
        <v>2.4128571428571428</v>
      </c>
      <c r="V22" s="544">
        <f t="shared" si="39"/>
        <v>3.7257142857142864</v>
      </c>
      <c r="W22" s="544">
        <f t="shared" si="39"/>
        <v>34.166666666666664</v>
      </c>
      <c r="X22" s="544">
        <f t="shared" si="39"/>
        <v>5.4035714285714291E-2</v>
      </c>
      <c r="Y22" s="544">
        <f t="shared" si="39"/>
        <v>3.0485714285714285</v>
      </c>
      <c r="Z22" s="544">
        <f t="shared" si="39"/>
        <v>4.3357142857142863</v>
      </c>
      <c r="AA22" s="544">
        <f t="shared" si="39"/>
        <v>42.821428571428569</v>
      </c>
      <c r="AB22" s="544">
        <f t="shared" si="39"/>
        <v>1.1744285714285714</v>
      </c>
      <c r="AC22" s="545">
        <f t="shared" si="39"/>
        <v>1.0636153846153846</v>
      </c>
      <c r="AD22" s="545">
        <f t="shared" si="39"/>
        <v>0.20107692307692307</v>
      </c>
      <c r="AE22" s="545">
        <f t="shared" si="39"/>
        <v>0.5838461538461539</v>
      </c>
      <c r="AF22" s="545">
        <f t="shared" si="39"/>
        <v>0.80678571428571433</v>
      </c>
      <c r="AG22" s="545">
        <f t="shared" si="39"/>
        <v>2.9999999999999996E-3</v>
      </c>
      <c r="AH22" s="545">
        <f t="shared" si="39"/>
        <v>6.1357142857142861</v>
      </c>
      <c r="AI22" s="545">
        <f t="shared" si="39"/>
        <v>5.2000000000000011E-2</v>
      </c>
      <c r="AJ22" s="545">
        <f t="shared" si="39"/>
        <v>5.2228571428571437E-2</v>
      </c>
      <c r="AK22" s="545">
        <f t="shared" si="39"/>
        <v>5.9999999999999993E-3</v>
      </c>
      <c r="AL22" s="545">
        <f t="shared" si="39"/>
        <v>6.3750000000000005E-4</v>
      </c>
      <c r="AM22" s="545">
        <f t="shared" si="39"/>
        <v>0.19638461538461538</v>
      </c>
      <c r="AN22" s="545">
        <f t="shared" si="39"/>
        <v>8.0000000000000015E-4</v>
      </c>
      <c r="AO22" s="545">
        <f t="shared" si="39"/>
        <v>7.0750000000000001E-4</v>
      </c>
      <c r="AP22" s="545">
        <f t="shared" si="39"/>
        <v>5.3199999999999994</v>
      </c>
      <c r="AQ22" s="545" t="e">
        <f t="shared" si="39"/>
        <v>#DIV/0!</v>
      </c>
      <c r="AR22" s="544">
        <f t="shared" si="39"/>
        <v>1.2999999999999999E-2</v>
      </c>
      <c r="AS22" s="544">
        <f t="shared" si="39"/>
        <v>1.1164285714285713</v>
      </c>
      <c r="AT22" s="544">
        <f t="shared" si="39"/>
        <v>0.82928571428571451</v>
      </c>
      <c r="AU22" s="544">
        <f t="shared" si="39"/>
        <v>0.57357142857142862</v>
      </c>
      <c r="AV22" s="544">
        <f t="shared" si="39"/>
        <v>0.98071428571428565</v>
      </c>
      <c r="AW22" s="544">
        <f t="shared" si="39"/>
        <v>1.0457142857142858</v>
      </c>
      <c r="AX22" s="544">
        <f t="shared" si="39"/>
        <v>1.0764285714285715</v>
      </c>
      <c r="AY22" s="544">
        <f t="shared" si="39"/>
        <v>2.290909090909091E-2</v>
      </c>
      <c r="AZ22" s="544">
        <f t="shared" si="39"/>
        <v>3.4907142857142861</v>
      </c>
      <c r="BA22" s="544">
        <f t="shared" si="39"/>
        <v>1.1514285714285715</v>
      </c>
      <c r="BB22" s="544">
        <f t="shared" si="39"/>
        <v>3.1614285714285706</v>
      </c>
      <c r="CD22" s="691">
        <f>AVERAGE(CD7:CD20)</f>
        <v>0.7475777537259557</v>
      </c>
      <c r="CE22" s="691">
        <f>AVERAGE(CE7:CE20)</f>
        <v>0.9197741660975669</v>
      </c>
      <c r="CF22" s="691">
        <f>AVERAGE(CF7:CF20)</f>
        <v>6.6428571428571462E-2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>
        <v>0.05</v>
      </c>
      <c r="E23" s="30" t="s">
        <v>405</v>
      </c>
      <c r="F23" s="29" t="s">
        <v>385</v>
      </c>
      <c r="G23" s="29" t="s">
        <v>514</v>
      </c>
      <c r="H23" s="30" t="s">
        <v>427</v>
      </c>
      <c r="I23" s="29" t="s">
        <v>515</v>
      </c>
      <c r="J23" s="29" t="s">
        <v>352</v>
      </c>
      <c r="K23" s="29" t="s">
        <v>429</v>
      </c>
      <c r="L23" s="26" t="s">
        <v>438</v>
      </c>
      <c r="M23" s="30" t="s">
        <v>322</v>
      </c>
      <c r="N23" s="29" t="s">
        <v>513</v>
      </c>
      <c r="O23" s="29" t="s">
        <v>371</v>
      </c>
      <c r="P23" s="29" t="s">
        <v>380</v>
      </c>
      <c r="Q23" s="29" t="s">
        <v>349</v>
      </c>
      <c r="R23" s="29" t="s">
        <v>403</v>
      </c>
      <c r="S23" s="29" t="s">
        <v>509</v>
      </c>
      <c r="T23" s="29" t="s">
        <v>435</v>
      </c>
      <c r="U23" s="29" t="s">
        <v>350</v>
      </c>
      <c r="V23" s="29" t="s">
        <v>383</v>
      </c>
      <c r="W23" s="29" t="s">
        <v>439</v>
      </c>
      <c r="X23" s="29" t="s">
        <v>516</v>
      </c>
      <c r="Y23" s="29" t="s">
        <v>440</v>
      </c>
      <c r="Z23" s="29" t="s">
        <v>405</v>
      </c>
      <c r="AA23" s="29" t="s">
        <v>432</v>
      </c>
      <c r="AB23" s="29" t="s">
        <v>407</v>
      </c>
      <c r="AC23" s="29" t="s">
        <v>435</v>
      </c>
      <c r="AD23" s="29" t="s">
        <v>331</v>
      </c>
      <c r="AE23" s="29" t="s">
        <v>356</v>
      </c>
      <c r="AF23" s="29" t="s">
        <v>517</v>
      </c>
      <c r="AG23" s="29" t="s">
        <v>409</v>
      </c>
      <c r="AH23" s="29" t="s">
        <v>518</v>
      </c>
      <c r="AI23" s="29" t="s">
        <v>411</v>
      </c>
      <c r="AJ23" s="29" t="s">
        <v>429</v>
      </c>
      <c r="AK23" s="29" t="s">
        <v>411</v>
      </c>
      <c r="AL23" s="27" t="s">
        <v>397</v>
      </c>
      <c r="AM23" s="58" t="s">
        <v>411</v>
      </c>
      <c r="AN23" s="58" t="s">
        <v>515</v>
      </c>
      <c r="AO23" s="58" t="s">
        <v>412</v>
      </c>
      <c r="AP23" s="59" t="s">
        <v>519</v>
      </c>
      <c r="AQ23" s="60"/>
      <c r="AR23" s="28" t="s">
        <v>437</v>
      </c>
      <c r="AS23" s="30" t="s">
        <v>342</v>
      </c>
      <c r="AT23" s="30" t="s">
        <v>441</v>
      </c>
      <c r="AU23" s="30" t="s">
        <v>418</v>
      </c>
      <c r="AV23" s="30" t="s">
        <v>520</v>
      </c>
      <c r="AW23" s="29" t="s">
        <v>367</v>
      </c>
      <c r="AX23" s="27" t="s">
        <v>331</v>
      </c>
      <c r="AY23" s="27" t="s">
        <v>418</v>
      </c>
      <c r="AZ23" s="27"/>
      <c r="BA23" s="27"/>
      <c r="BB23" s="26" t="s">
        <v>390</v>
      </c>
    </row>
    <row r="24" spans="2:85" ht="20.149999999999999" customHeight="1" x14ac:dyDescent="0.2">
      <c r="B24" s="692" t="s">
        <v>95</v>
      </c>
      <c r="C24" s="693"/>
      <c r="D24" s="61">
        <v>0.13</v>
      </c>
      <c r="E24" s="56" t="s">
        <v>511</v>
      </c>
      <c r="F24" s="55" t="s">
        <v>346</v>
      </c>
      <c r="G24" s="55" t="s">
        <v>334</v>
      </c>
      <c r="H24" s="56" t="s">
        <v>452</v>
      </c>
      <c r="I24" s="55" t="s">
        <v>404</v>
      </c>
      <c r="J24" s="55" t="s">
        <v>427</v>
      </c>
      <c r="K24" s="55" t="s">
        <v>403</v>
      </c>
      <c r="L24" s="52" t="s">
        <v>390</v>
      </c>
      <c r="M24" s="56" t="s">
        <v>353</v>
      </c>
      <c r="N24" s="55" t="s">
        <v>360</v>
      </c>
      <c r="O24" s="55" t="s">
        <v>394</v>
      </c>
      <c r="P24" s="55" t="s">
        <v>392</v>
      </c>
      <c r="Q24" s="55" t="s">
        <v>395</v>
      </c>
      <c r="R24" s="55" t="s">
        <v>345</v>
      </c>
      <c r="S24" s="55" t="s">
        <v>358</v>
      </c>
      <c r="T24" s="55" t="s">
        <v>420</v>
      </c>
      <c r="U24" s="55" t="s">
        <v>364</v>
      </c>
      <c r="V24" s="55" t="s">
        <v>355</v>
      </c>
      <c r="W24" s="55" t="s">
        <v>353</v>
      </c>
      <c r="X24" s="55" t="s">
        <v>521</v>
      </c>
      <c r="Y24" s="55" t="s">
        <v>522</v>
      </c>
      <c r="Z24" s="55" t="s">
        <v>351</v>
      </c>
      <c r="AA24" s="55" t="s">
        <v>373</v>
      </c>
      <c r="AB24" s="55" t="s">
        <v>422</v>
      </c>
      <c r="AC24" s="55" t="s">
        <v>420</v>
      </c>
      <c r="AD24" s="55" t="s">
        <v>369</v>
      </c>
      <c r="AE24" s="55" t="s">
        <v>508</v>
      </c>
      <c r="AF24" s="55" t="s">
        <v>407</v>
      </c>
      <c r="AG24" s="55" t="s">
        <v>375</v>
      </c>
      <c r="AH24" s="55" t="s">
        <v>510</v>
      </c>
      <c r="AI24" s="55" t="s">
        <v>391</v>
      </c>
      <c r="AJ24" s="55" t="s">
        <v>403</v>
      </c>
      <c r="AK24" s="55" t="s">
        <v>383</v>
      </c>
      <c r="AL24" s="53" t="s">
        <v>523</v>
      </c>
      <c r="AM24" s="53" t="s">
        <v>443</v>
      </c>
      <c r="AN24" s="53" t="s">
        <v>404</v>
      </c>
      <c r="AO24" s="53" t="s">
        <v>426</v>
      </c>
      <c r="AP24" s="55" t="s">
        <v>368</v>
      </c>
      <c r="AQ24" s="52"/>
      <c r="AR24" s="54" t="s">
        <v>442</v>
      </c>
      <c r="AS24" s="56" t="s">
        <v>512</v>
      </c>
      <c r="AT24" s="56" t="s">
        <v>355</v>
      </c>
      <c r="AU24" s="56" t="s">
        <v>381</v>
      </c>
      <c r="AV24" s="56" t="s">
        <v>524</v>
      </c>
      <c r="AW24" s="55" t="s">
        <v>356</v>
      </c>
      <c r="AX24" s="53" t="s">
        <v>370</v>
      </c>
      <c r="AY24" s="53" t="s">
        <v>381</v>
      </c>
      <c r="AZ24" s="53"/>
      <c r="BA24" s="53"/>
      <c r="BB24" s="52" t="s">
        <v>399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7" priority="6" stopIfTrue="1" operator="notBetween">
      <formula>0.8</formula>
      <formula>1.2</formula>
    </cfRule>
  </conditionalFormatting>
  <conditionalFormatting sqref="BC7:BD20">
    <cfRule type="cellIs" dxfId="6" priority="5" stopIfTrue="1" operator="notBetween">
      <formula>0.9</formula>
      <formula>1.1</formula>
    </cfRule>
  </conditionalFormatting>
  <conditionalFormatting sqref="BP7:BP20">
    <cfRule type="cellIs" dxfId="5" priority="3" stopIfTrue="1" operator="notBetween">
      <formula>0.8</formula>
      <formula>1.2</formula>
    </cfRule>
  </conditionalFormatting>
  <conditionalFormatting sqref="CF7:CF20">
    <cfRule type="cellIs" dxfId="4" priority="1" stopIfTrue="1" operator="lessThan">
      <formula>0</formula>
    </cfRule>
  </conditionalFormatting>
  <dataValidations disablePrompts="1"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  <ignoredErrors>
    <ignoredError sqref="D21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CG30"/>
  <sheetViews>
    <sheetView topLeftCell="BH1" zoomScale="70" zoomScaleNormal="70" zoomScaleSheetLayoutView="55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281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642</v>
      </c>
      <c r="C7" s="26" t="s">
        <v>628</v>
      </c>
      <c r="D7" s="27">
        <v>3.3</v>
      </c>
      <c r="E7" s="28">
        <v>1.4E-2</v>
      </c>
      <c r="F7" s="29">
        <v>2.7E-2</v>
      </c>
      <c r="G7" s="29">
        <v>0.88</v>
      </c>
      <c r="H7" s="30">
        <v>2.4E-2</v>
      </c>
      <c r="I7" s="29">
        <v>0.27</v>
      </c>
      <c r="J7" s="29" t="s">
        <v>651</v>
      </c>
      <c r="K7" s="29" t="s">
        <v>652</v>
      </c>
      <c r="L7" s="26" t="s">
        <v>653</v>
      </c>
      <c r="M7" s="28">
        <v>41</v>
      </c>
      <c r="N7" s="29">
        <v>150</v>
      </c>
      <c r="O7" s="205" t="s">
        <v>232</v>
      </c>
      <c r="P7" s="29">
        <v>18</v>
      </c>
      <c r="Q7" s="29" t="s">
        <v>654</v>
      </c>
      <c r="R7" s="29" t="s">
        <v>233</v>
      </c>
      <c r="S7" s="29" t="s">
        <v>655</v>
      </c>
      <c r="T7" s="305">
        <v>2</v>
      </c>
      <c r="U7" s="29" t="s">
        <v>506</v>
      </c>
      <c r="V7" s="29">
        <v>5.9</v>
      </c>
      <c r="W7" s="29">
        <v>16</v>
      </c>
      <c r="X7" s="29" t="s">
        <v>582</v>
      </c>
      <c r="Y7" s="29">
        <v>1.1000000000000001</v>
      </c>
      <c r="Z7" s="29" t="s">
        <v>656</v>
      </c>
      <c r="AA7" s="29">
        <v>14</v>
      </c>
      <c r="AB7" s="29" t="s">
        <v>576</v>
      </c>
      <c r="AC7" s="29" t="s">
        <v>242</v>
      </c>
      <c r="AD7" s="29">
        <v>3.1E-2</v>
      </c>
      <c r="AE7" s="29" t="s">
        <v>239</v>
      </c>
      <c r="AF7" s="29" t="s">
        <v>434</v>
      </c>
      <c r="AG7" s="29" t="s">
        <v>657</v>
      </c>
      <c r="AH7" s="29">
        <v>0.88</v>
      </c>
      <c r="AI7" s="29">
        <v>5.7999999999999996E-3</v>
      </c>
      <c r="AJ7" s="29">
        <v>1.0999999999999999E-2</v>
      </c>
      <c r="AK7" s="29" t="s">
        <v>657</v>
      </c>
      <c r="AL7" s="27">
        <v>0.31</v>
      </c>
      <c r="AM7" s="27" t="s">
        <v>251</v>
      </c>
      <c r="AN7" s="27">
        <v>4.4999999999999998E-2</v>
      </c>
      <c r="AO7" s="27">
        <v>8.6999999999999994E-2</v>
      </c>
      <c r="AP7" s="253">
        <v>0.2</v>
      </c>
      <c r="AQ7" s="26"/>
      <c r="AR7" s="28" t="s">
        <v>658</v>
      </c>
      <c r="AS7" s="30" t="s">
        <v>66</v>
      </c>
      <c r="AT7" s="30">
        <v>0.34</v>
      </c>
      <c r="AU7" s="30">
        <v>9.1999999999999998E-2</v>
      </c>
      <c r="AV7" s="30">
        <v>5.3999999999999999E-2</v>
      </c>
      <c r="AW7" s="29">
        <v>8.8999999999999996E-2</v>
      </c>
      <c r="AX7" s="27">
        <v>0.26</v>
      </c>
      <c r="AY7" s="27" t="s">
        <v>285</v>
      </c>
      <c r="AZ7" s="27">
        <v>0.49</v>
      </c>
      <c r="BA7" s="340">
        <v>0.3</v>
      </c>
      <c r="BB7" s="206" t="s">
        <v>232</v>
      </c>
      <c r="BC7" s="619">
        <f>SUM(AR7:AV7)/AZ7</f>
        <v>0.99183673469387768</v>
      </c>
      <c r="BD7" s="610">
        <f>(SUM(AW7:AY7)-AV7)/BA7</f>
        <v>0.98333333333333328</v>
      </c>
      <c r="BF7" s="610">
        <f>E7/35.5</f>
        <v>3.9436619718309862E-4</v>
      </c>
      <c r="BG7" s="610">
        <f>F7/62</f>
        <v>4.3548387096774196E-4</v>
      </c>
      <c r="BH7" s="610">
        <f>G7/(96/2)</f>
        <v>1.8333333333333333E-2</v>
      </c>
      <c r="BI7" s="610">
        <f>H7/23</f>
        <v>1.0434782608695653E-3</v>
      </c>
      <c r="BJ7" s="610">
        <f>I7/18</f>
        <v>1.5000000000000001E-2</v>
      </c>
      <c r="BK7" s="610" t="e">
        <f>J7/39</f>
        <v>#VALUE!</v>
      </c>
      <c r="BL7" s="610" t="e">
        <f>K7/(24.3/2)</f>
        <v>#VALUE!</v>
      </c>
      <c r="BM7" s="610" t="e">
        <f>L7/(40/2)</f>
        <v>#VALUE!</v>
      </c>
      <c r="BN7" s="563">
        <f>SUM(BF7:BH7)*1000</f>
        <v>19.163183401484172</v>
      </c>
      <c r="BO7" s="563" t="e">
        <f>SUM(BI7:BM7)*1000</f>
        <v>#VALUE!</v>
      </c>
      <c r="BP7" s="611" t="e">
        <f>BN7/BO7</f>
        <v>#VALUE!</v>
      </c>
      <c r="BR7" s="564">
        <f>1.375*G7</f>
        <v>1.21</v>
      </c>
      <c r="BS7" s="564">
        <f>1.29*F7</f>
        <v>3.483E-2</v>
      </c>
      <c r="BT7" s="564">
        <f>2.5*H7</f>
        <v>0.06</v>
      </c>
      <c r="BU7" s="564">
        <f>1.6*AZ7</f>
        <v>0.78400000000000003</v>
      </c>
      <c r="BV7" s="564">
        <f>BA7</f>
        <v>0.3</v>
      </c>
      <c r="BW7" s="564">
        <f>9.19/1000*N7</f>
        <v>1.3785000000000001</v>
      </c>
      <c r="BX7" s="564" t="e">
        <f t="shared" ref="BX7:BX20" si="0">Q7/1000*1.4</f>
        <v>#VALUE!</v>
      </c>
      <c r="BY7" s="564">
        <f>W7/1000*1.38</f>
        <v>2.2079999999999999E-2</v>
      </c>
      <c r="BZ7" s="564" t="e">
        <f>S7/1000*1.67</f>
        <v>#VALUE!</v>
      </c>
      <c r="CA7" s="564" t="e">
        <f>SUM(BR7:BZ7)</f>
        <v>#VALUE!</v>
      </c>
      <c r="CB7" s="611" t="e">
        <f>CA7/D7</f>
        <v>#VALUE!</v>
      </c>
      <c r="CD7" s="610">
        <f>AZ7/(AZ7+BA7)</f>
        <v>0.620253164556962</v>
      </c>
      <c r="CE7" s="610" t="e">
        <f>BB7/AZ7</f>
        <v>#VALUE!</v>
      </c>
      <c r="CF7" s="610">
        <f t="shared" ref="CF7:CF12" si="1">IF(AW7-AV7&gt;0,AW7-AV7,0)</f>
        <v>3.4999999999999996E-2</v>
      </c>
      <c r="CG7" s="610" t="e">
        <f t="shared" ref="CG7:CG12" si="2">IF(AW7-AV7&gt;0,AX7+AY7,AW7+AX7+AY7-AV7)</f>
        <v>#VALUE!</v>
      </c>
    </row>
    <row r="8" spans="2:85" ht="20.149999999999999" customHeight="1" x14ac:dyDescent="0.2">
      <c r="B8" s="31" t="s">
        <v>642</v>
      </c>
      <c r="C8" s="32" t="s">
        <v>629</v>
      </c>
      <c r="D8" s="33">
        <v>7.5</v>
      </c>
      <c r="E8" s="34">
        <v>6.0000000000000001E-3</v>
      </c>
      <c r="F8" s="35">
        <v>0.14000000000000001</v>
      </c>
      <c r="G8" s="35">
        <v>1.6</v>
      </c>
      <c r="H8" s="36">
        <v>0.11</v>
      </c>
      <c r="I8" s="341">
        <v>0.5</v>
      </c>
      <c r="J8" s="35">
        <v>5.0999999999999997E-2</v>
      </c>
      <c r="K8" s="35" t="s">
        <v>652</v>
      </c>
      <c r="L8" s="32" t="s">
        <v>653</v>
      </c>
      <c r="M8" s="34">
        <v>110</v>
      </c>
      <c r="N8" s="35">
        <v>40</v>
      </c>
      <c r="O8" s="216" t="s">
        <v>232</v>
      </c>
      <c r="P8" s="35">
        <v>36</v>
      </c>
      <c r="Q8" s="35" t="s">
        <v>654</v>
      </c>
      <c r="R8" s="35" t="s">
        <v>233</v>
      </c>
      <c r="S8" s="288">
        <v>4</v>
      </c>
      <c r="T8" s="35">
        <v>2.5</v>
      </c>
      <c r="U8" s="35" t="s">
        <v>506</v>
      </c>
      <c r="V8" s="35">
        <v>4.8</v>
      </c>
      <c r="W8" s="35">
        <v>24</v>
      </c>
      <c r="X8" s="35">
        <v>9.4E-2</v>
      </c>
      <c r="Y8" s="35">
        <v>1.4</v>
      </c>
      <c r="Z8" s="35">
        <v>1.9</v>
      </c>
      <c r="AA8" s="35">
        <v>25</v>
      </c>
      <c r="AB8" s="35">
        <v>0.22</v>
      </c>
      <c r="AC8" s="35" t="s">
        <v>242</v>
      </c>
      <c r="AD8" s="35">
        <v>0.11</v>
      </c>
      <c r="AE8" s="35" t="s">
        <v>239</v>
      </c>
      <c r="AF8" s="35">
        <v>0.64</v>
      </c>
      <c r="AG8" s="291">
        <v>0.02</v>
      </c>
      <c r="AH8" s="35">
        <v>8.1</v>
      </c>
      <c r="AI8" s="35">
        <v>3.2000000000000001E-2</v>
      </c>
      <c r="AJ8" s="35">
        <v>4.8000000000000001E-2</v>
      </c>
      <c r="AK8" s="35">
        <v>3.8E-3</v>
      </c>
      <c r="AL8" s="33">
        <v>8.3000000000000004E-2</v>
      </c>
      <c r="AM8" s="33">
        <v>0.37</v>
      </c>
      <c r="AN8" s="33" t="s">
        <v>431</v>
      </c>
      <c r="AO8" s="33">
        <v>3.9E-2</v>
      </c>
      <c r="AP8" s="288">
        <v>3</v>
      </c>
      <c r="AQ8" s="32"/>
      <c r="AR8" s="34" t="s">
        <v>658</v>
      </c>
      <c r="AS8" s="36">
        <v>0.42</v>
      </c>
      <c r="AT8" s="36">
        <v>0.55000000000000004</v>
      </c>
      <c r="AU8" s="36">
        <v>0.36</v>
      </c>
      <c r="AV8" s="36">
        <v>0.52</v>
      </c>
      <c r="AW8" s="35">
        <v>0.51</v>
      </c>
      <c r="AX8" s="33">
        <v>0.59</v>
      </c>
      <c r="AY8" s="33" t="s">
        <v>285</v>
      </c>
      <c r="AZ8" s="33">
        <v>1.8</v>
      </c>
      <c r="BA8" s="33">
        <v>0.57999999999999996</v>
      </c>
      <c r="BB8" s="238" t="s">
        <v>232</v>
      </c>
      <c r="BC8" s="619">
        <f t="shared" ref="BC8:BC20" si="3">SUM(AR8:AV8)/AZ8</f>
        <v>1.0277777777777779</v>
      </c>
      <c r="BD8" s="610">
        <f t="shared" ref="BD8:BD20" si="4">(SUM(AW8:AY8)-AV8)/BA8</f>
        <v>1.0000000000000002</v>
      </c>
      <c r="BF8" s="610">
        <f t="shared" ref="BF8:BF20" si="5">E8/35.5</f>
        <v>1.6901408450704225E-4</v>
      </c>
      <c r="BG8" s="610">
        <f t="shared" ref="BG8:BG20" si="6">F8/62</f>
        <v>2.2580645161290325E-3</v>
      </c>
      <c r="BH8" s="610">
        <f t="shared" ref="BH8:BH20" si="7">G8/(96/2)</f>
        <v>3.3333333333333333E-2</v>
      </c>
      <c r="BI8" s="610">
        <f t="shared" ref="BI8:BI20" si="8">H8/23</f>
        <v>4.7826086956521737E-3</v>
      </c>
      <c r="BJ8" s="610">
        <f t="shared" ref="BJ8:BJ20" si="9">I8/18</f>
        <v>2.7777777777777776E-2</v>
      </c>
      <c r="BK8" s="610">
        <f t="shared" ref="BK8:BK20" si="10">J8/39</f>
        <v>1.3076923076923077E-3</v>
      </c>
      <c r="BL8" s="610" t="e">
        <f t="shared" ref="BL8:BL20" si="11">K8/(24.3/2)</f>
        <v>#VALUE!</v>
      </c>
      <c r="BM8" s="610" t="e">
        <f t="shared" ref="BM8:BM20" si="12">L8/(40/2)</f>
        <v>#VALUE!</v>
      </c>
      <c r="BN8" s="563">
        <f t="shared" ref="BN8:BN20" si="13">SUM(BF8:BH8)*1000</f>
        <v>35.760411933969408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2.2000000000000002</v>
      </c>
      <c r="BS8" s="564">
        <f t="shared" ref="BS8:BS20" si="17">1.29*F8</f>
        <v>0.18060000000000001</v>
      </c>
      <c r="BT8" s="564">
        <f t="shared" ref="BT8:BT20" si="18">2.5*H8</f>
        <v>0.27500000000000002</v>
      </c>
      <c r="BU8" s="564">
        <f t="shared" ref="BU8:BU20" si="19">1.6*AZ8</f>
        <v>2.8800000000000003</v>
      </c>
      <c r="BV8" s="564">
        <f t="shared" ref="BV8:BV20" si="20">BA8</f>
        <v>0.57999999999999996</v>
      </c>
      <c r="BW8" s="564">
        <f t="shared" ref="BW8:BW20" si="21">9.19/1000*N8</f>
        <v>0.36760000000000004</v>
      </c>
      <c r="BX8" s="564" t="e">
        <f t="shared" si="0"/>
        <v>#VALUE!</v>
      </c>
      <c r="BY8" s="564">
        <f t="shared" ref="BY8:BY20" si="22">W8/1000*1.38</f>
        <v>3.3119999999999997E-2</v>
      </c>
      <c r="BZ8" s="564">
        <f t="shared" ref="BZ8:BZ20" si="23">S8/1000*1.67</f>
        <v>6.6800000000000002E-3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0.75630252100840345</v>
      </c>
      <c r="CE8" s="610" t="e">
        <f t="shared" ref="CE8:CE20" si="27">BB8/AZ8</f>
        <v>#VALUE!</v>
      </c>
      <c r="CF8" s="610">
        <f t="shared" si="1"/>
        <v>0</v>
      </c>
      <c r="CG8" s="610" t="e">
        <f t="shared" si="2"/>
        <v>#VALUE!</v>
      </c>
    </row>
    <row r="9" spans="2:85" ht="20.149999999999999" customHeight="1" x14ac:dyDescent="0.2">
      <c r="B9" s="31" t="s">
        <v>642</v>
      </c>
      <c r="C9" s="37" t="s">
        <v>630</v>
      </c>
      <c r="D9" s="33">
        <v>7.5</v>
      </c>
      <c r="E9" s="34" t="s">
        <v>659</v>
      </c>
      <c r="F9" s="35">
        <v>5.3999999999999999E-2</v>
      </c>
      <c r="G9" s="35">
        <v>2.4</v>
      </c>
      <c r="H9" s="36">
        <v>5.6000000000000001E-2</v>
      </c>
      <c r="I9" s="35">
        <v>0.78</v>
      </c>
      <c r="J9" s="35">
        <v>3.5000000000000003E-2</v>
      </c>
      <c r="K9" s="35" t="s">
        <v>652</v>
      </c>
      <c r="L9" s="32" t="s">
        <v>653</v>
      </c>
      <c r="M9" s="34">
        <v>30</v>
      </c>
      <c r="N9" s="35" t="s">
        <v>558</v>
      </c>
      <c r="O9" s="216" t="s">
        <v>232</v>
      </c>
      <c r="P9" s="35">
        <v>15</v>
      </c>
      <c r="Q9" s="35" t="s">
        <v>654</v>
      </c>
      <c r="R9" s="35" t="s">
        <v>233</v>
      </c>
      <c r="S9" s="35" t="s">
        <v>655</v>
      </c>
      <c r="T9" s="35">
        <v>8.9</v>
      </c>
      <c r="U9" s="35" t="s">
        <v>506</v>
      </c>
      <c r="V9" s="35">
        <v>1.1000000000000001</v>
      </c>
      <c r="W9" s="35">
        <v>8.6</v>
      </c>
      <c r="X9" s="35" t="s">
        <v>582</v>
      </c>
      <c r="Y9" s="35">
        <v>2.2000000000000002</v>
      </c>
      <c r="Z9" s="35" t="s">
        <v>656</v>
      </c>
      <c r="AA9" s="288">
        <v>4</v>
      </c>
      <c r="AB9" s="35" t="s">
        <v>576</v>
      </c>
      <c r="AC9" s="35" t="s">
        <v>242</v>
      </c>
      <c r="AD9" s="35">
        <v>3.3000000000000002E-2</v>
      </c>
      <c r="AE9" s="35" t="s">
        <v>239</v>
      </c>
      <c r="AF9" s="35" t="s">
        <v>434</v>
      </c>
      <c r="AG9" s="35" t="s">
        <v>657</v>
      </c>
      <c r="AH9" s="35">
        <v>1.2</v>
      </c>
      <c r="AI9" s="35">
        <v>8.3000000000000001E-3</v>
      </c>
      <c r="AJ9" s="35">
        <v>1.6E-2</v>
      </c>
      <c r="AK9" s="35" t="s">
        <v>657</v>
      </c>
      <c r="AL9" s="33" t="s">
        <v>285</v>
      </c>
      <c r="AM9" s="33" t="s">
        <v>251</v>
      </c>
      <c r="AN9" s="33" t="s">
        <v>431</v>
      </c>
      <c r="AO9" s="33" t="s">
        <v>462</v>
      </c>
      <c r="AP9" s="341">
        <v>0.5</v>
      </c>
      <c r="AQ9" s="32"/>
      <c r="AR9" s="34" t="s">
        <v>658</v>
      </c>
      <c r="AS9" s="36">
        <v>0.41</v>
      </c>
      <c r="AT9" s="36">
        <v>0.53</v>
      </c>
      <c r="AU9" s="36">
        <v>0.35</v>
      </c>
      <c r="AV9" s="36">
        <v>0.46</v>
      </c>
      <c r="AW9" s="35">
        <v>0.44</v>
      </c>
      <c r="AX9" s="33">
        <v>0.43</v>
      </c>
      <c r="AY9" s="33" t="s">
        <v>285</v>
      </c>
      <c r="AZ9" s="33">
        <v>1.8</v>
      </c>
      <c r="BA9" s="33">
        <v>0.41</v>
      </c>
      <c r="BB9" s="238" t="s">
        <v>232</v>
      </c>
      <c r="BC9" s="619">
        <f t="shared" si="3"/>
        <v>0.97222222222222221</v>
      </c>
      <c r="BD9" s="610">
        <f t="shared" si="4"/>
        <v>1</v>
      </c>
      <c r="BF9" s="610" t="e">
        <f t="shared" si="5"/>
        <v>#VALUE!</v>
      </c>
      <c r="BG9" s="610">
        <f t="shared" si="6"/>
        <v>8.7096774193548391E-4</v>
      </c>
      <c r="BH9" s="610">
        <f t="shared" si="7"/>
        <v>4.9999999999999996E-2</v>
      </c>
      <c r="BI9" s="610">
        <f t="shared" si="8"/>
        <v>2.4347826086956524E-3</v>
      </c>
      <c r="BJ9" s="610">
        <f t="shared" si="9"/>
        <v>4.3333333333333335E-2</v>
      </c>
      <c r="BK9" s="610">
        <f t="shared" si="10"/>
        <v>8.9743589743589754E-4</v>
      </c>
      <c r="BL9" s="610" t="e">
        <f t="shared" si="11"/>
        <v>#VALUE!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3.3</v>
      </c>
      <c r="BS9" s="564">
        <f t="shared" si="17"/>
        <v>6.966E-2</v>
      </c>
      <c r="BT9" s="564">
        <f t="shared" si="18"/>
        <v>0.14000000000000001</v>
      </c>
      <c r="BU9" s="564">
        <f t="shared" si="19"/>
        <v>2.8800000000000003</v>
      </c>
      <c r="BV9" s="564">
        <f t="shared" si="20"/>
        <v>0.41</v>
      </c>
      <c r="BW9" s="564" t="e">
        <f t="shared" si="21"/>
        <v>#VALUE!</v>
      </c>
      <c r="BX9" s="564" t="e">
        <f t="shared" si="0"/>
        <v>#VALUE!</v>
      </c>
      <c r="BY9" s="564">
        <f t="shared" si="22"/>
        <v>1.1867999999999998E-2</v>
      </c>
      <c r="BZ9" s="564" t="e">
        <f t="shared" si="23"/>
        <v>#VALUE!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0.81447963800904977</v>
      </c>
      <c r="CE9" s="610" t="e">
        <f t="shared" si="27"/>
        <v>#VALUE!</v>
      </c>
      <c r="CF9" s="610">
        <f t="shared" si="1"/>
        <v>0</v>
      </c>
      <c r="CG9" s="610" t="e">
        <f t="shared" si="2"/>
        <v>#VALUE!</v>
      </c>
    </row>
    <row r="10" spans="2:85" ht="20.149999999999999" customHeight="1" thickBot="1" x14ac:dyDescent="0.25">
      <c r="B10" s="31" t="s">
        <v>642</v>
      </c>
      <c r="C10" s="32" t="s">
        <v>631</v>
      </c>
      <c r="D10" s="33">
        <v>11.8</v>
      </c>
      <c r="E10" s="34">
        <v>7.3999999999999996E-2</v>
      </c>
      <c r="F10" s="35">
        <v>0.35</v>
      </c>
      <c r="G10" s="35">
        <v>2.7</v>
      </c>
      <c r="H10" s="36">
        <v>0.38</v>
      </c>
      <c r="I10" s="35">
        <v>0.71</v>
      </c>
      <c r="J10" s="35">
        <v>0.16</v>
      </c>
      <c r="K10" s="35">
        <v>4.7E-2</v>
      </c>
      <c r="L10" s="32">
        <v>3.4000000000000002E-2</v>
      </c>
      <c r="M10" s="34">
        <v>170</v>
      </c>
      <c r="N10" s="35">
        <v>20</v>
      </c>
      <c r="O10" s="225" t="s">
        <v>232</v>
      </c>
      <c r="P10" s="35">
        <v>56</v>
      </c>
      <c r="Q10" s="35" t="s">
        <v>654</v>
      </c>
      <c r="R10" s="35" t="s">
        <v>233</v>
      </c>
      <c r="S10" s="35" t="s">
        <v>655</v>
      </c>
      <c r="T10" s="35">
        <v>6.3</v>
      </c>
      <c r="U10" s="35" t="s">
        <v>506</v>
      </c>
      <c r="V10" s="35">
        <v>1.3</v>
      </c>
      <c r="W10" s="35">
        <v>8.3000000000000007</v>
      </c>
      <c r="X10" s="35" t="s">
        <v>582</v>
      </c>
      <c r="Y10" s="35">
        <v>1.3</v>
      </c>
      <c r="Z10" s="35" t="s">
        <v>656</v>
      </c>
      <c r="AA10" s="35">
        <v>9.9</v>
      </c>
      <c r="AB10" s="35" t="s">
        <v>576</v>
      </c>
      <c r="AC10" s="35" t="s">
        <v>242</v>
      </c>
      <c r="AD10" s="35">
        <v>5.8000000000000003E-2</v>
      </c>
      <c r="AE10" s="35" t="s">
        <v>239</v>
      </c>
      <c r="AF10" s="35" t="s">
        <v>434</v>
      </c>
      <c r="AG10" s="342">
        <v>5.0000000000000001E-3</v>
      </c>
      <c r="AH10" s="288">
        <v>4</v>
      </c>
      <c r="AI10" s="35">
        <v>2.1999999999999999E-2</v>
      </c>
      <c r="AJ10" s="35">
        <v>3.7999999999999999E-2</v>
      </c>
      <c r="AK10" s="35">
        <v>2.5000000000000001E-3</v>
      </c>
      <c r="AL10" s="33" t="s">
        <v>285</v>
      </c>
      <c r="AM10" s="33">
        <v>0.19</v>
      </c>
      <c r="AN10" s="33" t="s">
        <v>431</v>
      </c>
      <c r="AO10" s="33">
        <v>6.7000000000000002E-3</v>
      </c>
      <c r="AP10" s="35">
        <v>1.1000000000000001</v>
      </c>
      <c r="AQ10" s="32"/>
      <c r="AR10" s="34" t="s">
        <v>658</v>
      </c>
      <c r="AS10" s="36">
        <v>0.64</v>
      </c>
      <c r="AT10" s="36">
        <v>0.85</v>
      </c>
      <c r="AU10" s="343">
        <v>0.6</v>
      </c>
      <c r="AV10" s="36">
        <v>0.67</v>
      </c>
      <c r="AW10" s="35">
        <v>0.67</v>
      </c>
      <c r="AX10" s="344">
        <v>0.5</v>
      </c>
      <c r="AY10" s="33">
        <v>2.4E-2</v>
      </c>
      <c r="AZ10" s="33">
        <v>2.8</v>
      </c>
      <c r="BA10" s="33">
        <v>0.52</v>
      </c>
      <c r="BB10" s="238" t="s">
        <v>232</v>
      </c>
      <c r="BC10" s="619">
        <f t="shared" si="3"/>
        <v>0.98571428571428565</v>
      </c>
      <c r="BD10" s="610">
        <f t="shared" si="4"/>
        <v>1.0076923076923074</v>
      </c>
      <c r="BF10" s="610">
        <f t="shared" si="5"/>
        <v>2.0845070422535212E-3</v>
      </c>
      <c r="BG10" s="610">
        <f t="shared" si="6"/>
        <v>5.6451612903225803E-3</v>
      </c>
      <c r="BH10" s="610">
        <f t="shared" si="7"/>
        <v>5.6250000000000001E-2</v>
      </c>
      <c r="BI10" s="610">
        <f t="shared" si="8"/>
        <v>1.6521739130434782E-2</v>
      </c>
      <c r="BJ10" s="610">
        <f t="shared" si="9"/>
        <v>3.9444444444444442E-2</v>
      </c>
      <c r="BK10" s="610">
        <f t="shared" si="10"/>
        <v>4.1025641025641026E-3</v>
      </c>
      <c r="BL10" s="610">
        <f t="shared" si="11"/>
        <v>3.8683127572016461E-3</v>
      </c>
      <c r="BM10" s="610">
        <f t="shared" si="12"/>
        <v>1.7000000000000001E-3</v>
      </c>
      <c r="BN10" s="563">
        <f t="shared" si="13"/>
        <v>63.979668332576111</v>
      </c>
      <c r="BO10" s="563">
        <f t="shared" si="14"/>
        <v>65.63706043464498</v>
      </c>
      <c r="BP10" s="611">
        <f t="shared" si="15"/>
        <v>0.97474914185532213</v>
      </c>
      <c r="BR10" s="564">
        <f t="shared" si="16"/>
        <v>3.7125000000000004</v>
      </c>
      <c r="BS10" s="564">
        <f t="shared" si="17"/>
        <v>0.45149999999999996</v>
      </c>
      <c r="BT10" s="564">
        <f t="shared" si="18"/>
        <v>0.95</v>
      </c>
      <c r="BU10" s="564">
        <f t="shared" si="19"/>
        <v>4.4799999999999995</v>
      </c>
      <c r="BV10" s="564">
        <f t="shared" si="20"/>
        <v>0.52</v>
      </c>
      <c r="BW10" s="564">
        <f t="shared" si="21"/>
        <v>0.18380000000000002</v>
      </c>
      <c r="BX10" s="564" t="e">
        <f t="shared" si="0"/>
        <v>#VALUE!</v>
      </c>
      <c r="BY10" s="564">
        <f t="shared" si="22"/>
        <v>1.1453999999999999E-2</v>
      </c>
      <c r="BZ10" s="564" t="e">
        <f t="shared" si="23"/>
        <v>#VALUE!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0.84337349397590355</v>
      </c>
      <c r="CE10" s="610" t="e">
        <f t="shared" si="27"/>
        <v>#VALUE!</v>
      </c>
      <c r="CF10" s="610">
        <f t="shared" si="1"/>
        <v>0</v>
      </c>
      <c r="CG10" s="610">
        <f t="shared" si="2"/>
        <v>0.52399999999999991</v>
      </c>
    </row>
    <row r="11" spans="2:85" ht="20.149999999999999" customHeight="1" thickBot="1" x14ac:dyDescent="0.25">
      <c r="B11" s="39" t="s">
        <v>642</v>
      </c>
      <c r="C11" s="40" t="s">
        <v>632</v>
      </c>
      <c r="D11" s="41">
        <v>8.5</v>
      </c>
      <c r="E11" s="42">
        <v>0.15</v>
      </c>
      <c r="F11" s="43">
        <v>0.39</v>
      </c>
      <c r="G11" s="43">
        <v>1.9</v>
      </c>
      <c r="H11" s="44">
        <v>0.36</v>
      </c>
      <c r="I11" s="43">
        <v>0.53</v>
      </c>
      <c r="J11" s="43">
        <v>0.06</v>
      </c>
      <c r="K11" s="43">
        <v>3.7999999999999999E-2</v>
      </c>
      <c r="L11" s="45">
        <v>2.1999999999999999E-2</v>
      </c>
      <c r="M11" s="42">
        <v>320</v>
      </c>
      <c r="N11" s="43">
        <v>24</v>
      </c>
      <c r="O11" s="234" t="s">
        <v>232</v>
      </c>
      <c r="P11" s="43">
        <v>58</v>
      </c>
      <c r="Q11" s="43" t="s">
        <v>654</v>
      </c>
      <c r="R11" s="43" t="s">
        <v>233</v>
      </c>
      <c r="S11" s="43" t="s">
        <v>655</v>
      </c>
      <c r="T11" s="43">
        <v>4.5999999999999996</v>
      </c>
      <c r="U11" s="43" t="s">
        <v>506</v>
      </c>
      <c r="V11" s="43">
        <v>0.92</v>
      </c>
      <c r="W11" s="43">
        <v>13</v>
      </c>
      <c r="X11" s="43" t="s">
        <v>582</v>
      </c>
      <c r="Y11" s="43">
        <v>1.7</v>
      </c>
      <c r="Z11" s="43" t="s">
        <v>656</v>
      </c>
      <c r="AA11" s="43">
        <v>13</v>
      </c>
      <c r="AB11" s="43" t="s">
        <v>576</v>
      </c>
      <c r="AC11" s="43">
        <v>0.32</v>
      </c>
      <c r="AD11" s="43">
        <v>8.3000000000000004E-2</v>
      </c>
      <c r="AE11" s="43" t="s">
        <v>239</v>
      </c>
      <c r="AF11" s="293">
        <v>0.6</v>
      </c>
      <c r="AG11" s="43">
        <v>7.4999999999999997E-3</v>
      </c>
      <c r="AH11" s="43">
        <v>5.0999999999999996</v>
      </c>
      <c r="AI11" s="43">
        <v>3.3000000000000002E-2</v>
      </c>
      <c r="AJ11" s="43">
        <v>4.2999999999999997E-2</v>
      </c>
      <c r="AK11" s="43">
        <v>3.8E-3</v>
      </c>
      <c r="AL11" s="41" t="s">
        <v>285</v>
      </c>
      <c r="AM11" s="41" t="s">
        <v>251</v>
      </c>
      <c r="AN11" s="41" t="s">
        <v>431</v>
      </c>
      <c r="AO11" s="41" t="s">
        <v>462</v>
      </c>
      <c r="AP11" s="43">
        <v>3.2</v>
      </c>
      <c r="AQ11" s="45"/>
      <c r="AR11" s="42" t="s">
        <v>658</v>
      </c>
      <c r="AS11" s="44">
        <v>0.44</v>
      </c>
      <c r="AT11" s="44">
        <v>0.55000000000000004</v>
      </c>
      <c r="AU11" s="44">
        <v>0.37</v>
      </c>
      <c r="AV11" s="345">
        <v>0.4</v>
      </c>
      <c r="AW11" s="43">
        <v>0.36</v>
      </c>
      <c r="AX11" s="41">
        <v>0.28000000000000003</v>
      </c>
      <c r="AY11" s="41" t="s">
        <v>285</v>
      </c>
      <c r="AZ11" s="41">
        <v>1.8</v>
      </c>
      <c r="BA11" s="41">
        <v>0.24</v>
      </c>
      <c r="BB11" s="224" t="s">
        <v>232</v>
      </c>
      <c r="BC11" s="620">
        <f t="shared" si="3"/>
        <v>0.97777777777777763</v>
      </c>
      <c r="BD11" s="617">
        <f t="shared" si="4"/>
        <v>1</v>
      </c>
      <c r="BE11" s="616"/>
      <c r="BF11" s="617">
        <f t="shared" si="5"/>
        <v>4.2253521126760559E-3</v>
      </c>
      <c r="BG11" s="617">
        <f t="shared" si="6"/>
        <v>6.2903225806451614E-3</v>
      </c>
      <c r="BH11" s="617">
        <f t="shared" si="7"/>
        <v>3.9583333333333331E-2</v>
      </c>
      <c r="BI11" s="617">
        <f t="shared" si="8"/>
        <v>1.5652173913043476E-2</v>
      </c>
      <c r="BJ11" s="617">
        <f t="shared" si="9"/>
        <v>2.9444444444444447E-2</v>
      </c>
      <c r="BK11" s="617">
        <f t="shared" si="10"/>
        <v>1.5384615384615385E-3</v>
      </c>
      <c r="BL11" s="617">
        <f t="shared" si="11"/>
        <v>3.127572016460905E-3</v>
      </c>
      <c r="BM11" s="617">
        <f t="shared" si="12"/>
        <v>1.0999999999999998E-3</v>
      </c>
      <c r="BN11" s="621">
        <f t="shared" si="13"/>
        <v>50.099008026654545</v>
      </c>
      <c r="BO11" s="621">
        <f t="shared" si="14"/>
        <v>50.862651912410357</v>
      </c>
      <c r="BP11" s="618">
        <f t="shared" si="15"/>
        <v>0.98498615669763212</v>
      </c>
      <c r="BQ11" s="616"/>
      <c r="BR11" s="615">
        <f t="shared" si="16"/>
        <v>2.6124999999999998</v>
      </c>
      <c r="BS11" s="615">
        <f t="shared" si="17"/>
        <v>0.50309999999999999</v>
      </c>
      <c r="BT11" s="615">
        <f t="shared" si="18"/>
        <v>0.89999999999999991</v>
      </c>
      <c r="BU11" s="615">
        <f t="shared" si="19"/>
        <v>2.8800000000000003</v>
      </c>
      <c r="BV11" s="615">
        <f t="shared" si="20"/>
        <v>0.24</v>
      </c>
      <c r="BW11" s="615">
        <f t="shared" si="21"/>
        <v>0.22056000000000001</v>
      </c>
      <c r="BX11" s="615" t="e">
        <f t="shared" si="0"/>
        <v>#VALUE!</v>
      </c>
      <c r="BY11" s="615">
        <f t="shared" si="22"/>
        <v>1.7939999999999998E-2</v>
      </c>
      <c r="BZ11" s="615" t="e">
        <f t="shared" si="23"/>
        <v>#VALUE!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0.88235294117647056</v>
      </c>
      <c r="CE11" s="617" t="e">
        <f t="shared" si="27"/>
        <v>#VALUE!</v>
      </c>
      <c r="CF11" s="617">
        <f t="shared" si="1"/>
        <v>0</v>
      </c>
      <c r="CG11" s="617" t="e">
        <f t="shared" si="2"/>
        <v>#VALUE!</v>
      </c>
    </row>
    <row r="12" spans="2:85" ht="20.149999999999999" customHeight="1" x14ac:dyDescent="0.2">
      <c r="B12" s="31" t="s">
        <v>643</v>
      </c>
      <c r="C12" s="46" t="s">
        <v>633</v>
      </c>
      <c r="D12" s="47">
        <v>10</v>
      </c>
      <c r="E12" s="48">
        <v>7.5999999999999998E-2</v>
      </c>
      <c r="F12" s="281">
        <v>0.4</v>
      </c>
      <c r="G12" s="49">
        <v>3.4</v>
      </c>
      <c r="H12" s="50">
        <v>0.45</v>
      </c>
      <c r="I12" s="346">
        <v>1</v>
      </c>
      <c r="J12" s="49">
        <v>4.4999999999999998E-2</v>
      </c>
      <c r="K12" s="49">
        <v>5.3999999999999999E-2</v>
      </c>
      <c r="L12" s="37">
        <v>4.2000000000000003E-2</v>
      </c>
      <c r="M12" s="48">
        <v>240</v>
      </c>
      <c r="N12" s="625">
        <f>0.5*17</f>
        <v>8.5</v>
      </c>
      <c r="O12" s="234" t="s">
        <v>232</v>
      </c>
      <c r="P12" s="49">
        <v>18</v>
      </c>
      <c r="Q12" s="625">
        <f>0.5*31</f>
        <v>15.5</v>
      </c>
      <c r="R12" s="625">
        <f t="shared" ref="R12:R18" si="28">0.5*14</f>
        <v>7</v>
      </c>
      <c r="S12" s="625">
        <f>0.5*2.9</f>
        <v>1.45</v>
      </c>
      <c r="T12" s="49">
        <v>3.5</v>
      </c>
      <c r="U12" s="625">
        <f>0.5*0.45</f>
        <v>0.22500000000000001</v>
      </c>
      <c r="V12" s="49">
        <v>2.7</v>
      </c>
      <c r="W12" s="49">
        <v>11</v>
      </c>
      <c r="X12" s="625">
        <f>0.5*0.074</f>
        <v>3.6999999999999998E-2</v>
      </c>
      <c r="Y12" s="49">
        <v>1.1000000000000001</v>
      </c>
      <c r="Z12" s="625">
        <f>0.5*1.3</f>
        <v>0.65</v>
      </c>
      <c r="AA12" s="49">
        <v>8.6</v>
      </c>
      <c r="AB12" s="625">
        <f>0.5*0.22</f>
        <v>0.11</v>
      </c>
      <c r="AC12" s="625">
        <f>0.5*0.23</f>
        <v>0.115</v>
      </c>
      <c r="AD12" s="49">
        <v>6.0999999999999999E-2</v>
      </c>
      <c r="AE12" s="625">
        <f t="shared" ref="AE12:AE18" si="29">0.5*3.5</f>
        <v>1.75</v>
      </c>
      <c r="AF12" s="625">
        <f>0.5*0.4</f>
        <v>0.2</v>
      </c>
      <c r="AG12" s="49">
        <v>2.5000000000000001E-3</v>
      </c>
      <c r="AH12" s="49">
        <v>2.1</v>
      </c>
      <c r="AI12" s="49">
        <v>2.3E-2</v>
      </c>
      <c r="AJ12" s="49">
        <v>2.5999999999999999E-2</v>
      </c>
      <c r="AK12" s="625">
        <f>0.5*0.0017</f>
        <v>8.4999999999999995E-4</v>
      </c>
      <c r="AL12" s="627">
        <f t="shared" ref="AL12:AL18" si="30">0.5*0.016</f>
        <v>8.0000000000000002E-3</v>
      </c>
      <c r="AM12" s="627">
        <f>0.5*0.17</f>
        <v>8.5000000000000006E-2</v>
      </c>
      <c r="AN12" s="627">
        <f t="shared" ref="AN12:AN18" si="31">0.5*0.039</f>
        <v>1.95E-2</v>
      </c>
      <c r="AO12" s="627">
        <f t="shared" ref="AO12:AO18" si="32">0.5*0.0057</f>
        <v>2.8500000000000001E-3</v>
      </c>
      <c r="AP12" s="49">
        <v>0.67</v>
      </c>
      <c r="AQ12" s="37"/>
      <c r="AR12" s="630">
        <f t="shared" ref="AR12:AR18" si="33">0.5*0.055</f>
        <v>2.75E-2</v>
      </c>
      <c r="AS12" s="50">
        <v>0.52</v>
      </c>
      <c r="AT12" s="50">
        <v>0.34</v>
      </c>
      <c r="AU12" s="50">
        <v>0.25</v>
      </c>
      <c r="AV12" s="50">
        <v>0.36</v>
      </c>
      <c r="AW12" s="49">
        <v>0.35</v>
      </c>
      <c r="AX12" s="47">
        <v>0.35</v>
      </c>
      <c r="AY12" s="347">
        <v>0.02</v>
      </c>
      <c r="AZ12" s="47">
        <v>1.5</v>
      </c>
      <c r="BA12" s="47">
        <v>0.36</v>
      </c>
      <c r="BB12" s="233" t="s">
        <v>232</v>
      </c>
      <c r="BC12" s="619">
        <f t="shared" si="3"/>
        <v>0.99833333333333341</v>
      </c>
      <c r="BD12" s="610">
        <f t="shared" si="4"/>
        <v>1</v>
      </c>
      <c r="BF12" s="610">
        <f t="shared" si="5"/>
        <v>2.1408450704225352E-3</v>
      </c>
      <c r="BG12" s="610">
        <f t="shared" si="6"/>
        <v>6.4516129032258064E-3</v>
      </c>
      <c r="BH12" s="610">
        <f t="shared" si="7"/>
        <v>7.0833333333333331E-2</v>
      </c>
      <c r="BI12" s="610">
        <f t="shared" si="8"/>
        <v>1.9565217391304349E-2</v>
      </c>
      <c r="BJ12" s="610">
        <f t="shared" si="9"/>
        <v>5.5555555555555552E-2</v>
      </c>
      <c r="BK12" s="610">
        <f t="shared" si="10"/>
        <v>1.1538461538461537E-3</v>
      </c>
      <c r="BL12" s="610">
        <f t="shared" si="11"/>
        <v>4.4444444444444444E-3</v>
      </c>
      <c r="BM12" s="610">
        <f t="shared" si="12"/>
        <v>2.1000000000000003E-3</v>
      </c>
      <c r="BN12" s="563">
        <f t="shared" si="13"/>
        <v>79.425791306981665</v>
      </c>
      <c r="BO12" s="563">
        <f t="shared" si="14"/>
        <v>82.819063545150513</v>
      </c>
      <c r="BP12" s="611">
        <f t="shared" si="15"/>
        <v>0.95902788448798459</v>
      </c>
      <c r="BR12" s="564">
        <f t="shared" si="16"/>
        <v>4.6749999999999998</v>
      </c>
      <c r="BS12" s="564">
        <f t="shared" si="17"/>
        <v>0.51600000000000001</v>
      </c>
      <c r="BT12" s="564">
        <f t="shared" si="18"/>
        <v>1.125</v>
      </c>
      <c r="BU12" s="564">
        <f t="shared" si="19"/>
        <v>2.4000000000000004</v>
      </c>
      <c r="BV12" s="564">
        <f t="shared" si="20"/>
        <v>0.36</v>
      </c>
      <c r="BW12" s="564">
        <f t="shared" si="21"/>
        <v>7.8115000000000004E-2</v>
      </c>
      <c r="BX12" s="564">
        <f t="shared" si="0"/>
        <v>2.1699999999999997E-2</v>
      </c>
      <c r="BY12" s="564">
        <f t="shared" si="22"/>
        <v>1.5179999999999997E-2</v>
      </c>
      <c r="BZ12" s="564">
        <f t="shared" si="23"/>
        <v>2.4214999999999996E-3</v>
      </c>
      <c r="CA12" s="564">
        <f t="shared" si="24"/>
        <v>9.1934165000000014</v>
      </c>
      <c r="CB12" s="611">
        <f t="shared" si="25"/>
        <v>0.91934165000000012</v>
      </c>
      <c r="CC12" s="610"/>
      <c r="CD12" s="610">
        <f t="shared" si="26"/>
        <v>0.80645161290322587</v>
      </c>
      <c r="CE12" s="610" t="e">
        <f t="shared" si="27"/>
        <v>#VALUE!</v>
      </c>
      <c r="CF12" s="610">
        <f t="shared" si="1"/>
        <v>0</v>
      </c>
      <c r="CG12" s="610">
        <f t="shared" si="2"/>
        <v>0.36</v>
      </c>
    </row>
    <row r="13" spans="2:85" ht="20.149999999999999" customHeight="1" x14ac:dyDescent="0.2">
      <c r="B13" s="31" t="s">
        <v>643</v>
      </c>
      <c r="C13" s="40" t="s">
        <v>634</v>
      </c>
      <c r="D13" s="33">
        <v>15.2</v>
      </c>
      <c r="E13" s="34">
        <v>5.4000000000000003E-3</v>
      </c>
      <c r="F13" s="35">
        <v>7.1999999999999995E-2</v>
      </c>
      <c r="G13" s="35">
        <v>3.5</v>
      </c>
      <c r="H13" s="36">
        <v>8.3000000000000004E-2</v>
      </c>
      <c r="I13" s="35">
        <v>1.3</v>
      </c>
      <c r="J13" s="35">
        <v>5.2999999999999999E-2</v>
      </c>
      <c r="K13" s="624">
        <f>0.5*0.0094</f>
        <v>4.7000000000000002E-3</v>
      </c>
      <c r="L13" s="32">
        <v>7.8E-2</v>
      </c>
      <c r="M13" s="34">
        <v>13</v>
      </c>
      <c r="N13" s="624">
        <f>0.5*17</f>
        <v>8.5</v>
      </c>
      <c r="O13" s="216" t="s">
        <v>232</v>
      </c>
      <c r="P13" s="624">
        <f>0.5*11</f>
        <v>5.5</v>
      </c>
      <c r="Q13" s="624">
        <f>0.5*31</f>
        <v>15.5</v>
      </c>
      <c r="R13" s="624">
        <f t="shared" si="28"/>
        <v>7</v>
      </c>
      <c r="S13" s="624">
        <f>0.5*2.9</f>
        <v>1.45</v>
      </c>
      <c r="T13" s="35">
        <v>2.2999999999999998</v>
      </c>
      <c r="U13" s="624">
        <f>0.5*0.45</f>
        <v>0.22500000000000001</v>
      </c>
      <c r="V13" s="35">
        <v>0.72</v>
      </c>
      <c r="W13" s="35">
        <v>5.3</v>
      </c>
      <c r="X13" s="624">
        <f>0.5*0.074</f>
        <v>3.6999999999999998E-2</v>
      </c>
      <c r="Y13" s="35">
        <v>0.31</v>
      </c>
      <c r="Z13" s="624">
        <f>0.5*1.3</f>
        <v>0.65</v>
      </c>
      <c r="AA13" s="288">
        <v>3</v>
      </c>
      <c r="AB13" s="35">
        <v>0.34</v>
      </c>
      <c r="AC13" s="35">
        <v>0.56000000000000005</v>
      </c>
      <c r="AD13" s="35">
        <v>4.1000000000000002E-2</v>
      </c>
      <c r="AE13" s="624">
        <f t="shared" si="29"/>
        <v>1.75</v>
      </c>
      <c r="AF13" s="624">
        <f>0.5*0.4</f>
        <v>0.2</v>
      </c>
      <c r="AG13" s="35">
        <v>3.8E-3</v>
      </c>
      <c r="AH13" s="35">
        <v>0.64</v>
      </c>
      <c r="AI13" s="35">
        <v>9.5999999999999992E-3</v>
      </c>
      <c r="AJ13" s="35">
        <v>1.9E-2</v>
      </c>
      <c r="AK13" s="624">
        <f>0.5*0.0017</f>
        <v>8.4999999999999995E-4</v>
      </c>
      <c r="AL13" s="628">
        <f t="shared" si="30"/>
        <v>8.0000000000000002E-3</v>
      </c>
      <c r="AM13" s="628">
        <f>0.5*0.17</f>
        <v>8.5000000000000006E-2</v>
      </c>
      <c r="AN13" s="628">
        <f t="shared" si="31"/>
        <v>1.95E-2</v>
      </c>
      <c r="AO13" s="628">
        <f t="shared" si="32"/>
        <v>2.8500000000000001E-3</v>
      </c>
      <c r="AP13" s="35">
        <v>0.52</v>
      </c>
      <c r="AQ13" s="32"/>
      <c r="AR13" s="623">
        <f t="shared" si="33"/>
        <v>2.75E-2</v>
      </c>
      <c r="AS13" s="36">
        <v>1.2</v>
      </c>
      <c r="AT13" s="36">
        <v>0.83</v>
      </c>
      <c r="AU13" s="36">
        <v>0.56999999999999995</v>
      </c>
      <c r="AV13" s="343">
        <v>0.9</v>
      </c>
      <c r="AW13" s="35">
        <v>0.92</v>
      </c>
      <c r="AX13" s="33">
        <v>0.88</v>
      </c>
      <c r="AY13" s="33">
        <v>1.7999999999999999E-2</v>
      </c>
      <c r="AZ13" s="33">
        <v>3.5</v>
      </c>
      <c r="BA13" s="33">
        <v>0.92</v>
      </c>
      <c r="BB13" s="238" t="s">
        <v>232</v>
      </c>
      <c r="BC13" s="619">
        <f t="shared" si="3"/>
        <v>1.0078571428571428</v>
      </c>
      <c r="BD13" s="610">
        <f t="shared" si="4"/>
        <v>0.99782608695652175</v>
      </c>
      <c r="BF13" s="610">
        <f t="shared" si="5"/>
        <v>1.5211267605633804E-4</v>
      </c>
      <c r="BG13" s="610">
        <f t="shared" si="6"/>
        <v>1.1612903225806451E-3</v>
      </c>
      <c r="BH13" s="610">
        <f t="shared" si="7"/>
        <v>7.2916666666666671E-2</v>
      </c>
      <c r="BI13" s="610">
        <f t="shared" si="8"/>
        <v>3.6086956521739133E-3</v>
      </c>
      <c r="BJ13" s="610">
        <f t="shared" si="9"/>
        <v>7.2222222222222229E-2</v>
      </c>
      <c r="BK13" s="610">
        <f t="shared" si="10"/>
        <v>1.3589743589743589E-3</v>
      </c>
      <c r="BL13" s="610">
        <f t="shared" si="11"/>
        <v>3.8683127572016461E-4</v>
      </c>
      <c r="BM13" s="610">
        <f t="shared" si="12"/>
        <v>3.8999999999999998E-3</v>
      </c>
      <c r="BN13" s="563">
        <f t="shared" si="13"/>
        <v>74.23006966530366</v>
      </c>
      <c r="BO13" s="563">
        <f t="shared" si="14"/>
        <v>81.476723509090661</v>
      </c>
      <c r="BP13" s="611">
        <f t="shared" si="15"/>
        <v>0.91105860015371798</v>
      </c>
      <c r="BR13" s="564">
        <f t="shared" si="16"/>
        <v>4.8125</v>
      </c>
      <c r="BS13" s="564">
        <f t="shared" si="17"/>
        <v>9.287999999999999E-2</v>
      </c>
      <c r="BT13" s="564">
        <f t="shared" si="18"/>
        <v>0.20750000000000002</v>
      </c>
      <c r="BU13" s="564">
        <f t="shared" si="19"/>
        <v>5.6000000000000005</v>
      </c>
      <c r="BV13" s="564">
        <f t="shared" si="20"/>
        <v>0.92</v>
      </c>
      <c r="BW13" s="564">
        <f t="shared" si="21"/>
        <v>7.8115000000000004E-2</v>
      </c>
      <c r="BX13" s="564">
        <f t="shared" si="0"/>
        <v>2.1699999999999997E-2</v>
      </c>
      <c r="BY13" s="564">
        <f t="shared" si="22"/>
        <v>7.3139999999999993E-3</v>
      </c>
      <c r="BZ13" s="564">
        <f t="shared" si="23"/>
        <v>2.4214999999999996E-3</v>
      </c>
      <c r="CA13" s="564">
        <f t="shared" si="24"/>
        <v>11.742430500000001</v>
      </c>
      <c r="CB13" s="611">
        <f t="shared" si="25"/>
        <v>0.77252832236842117</v>
      </c>
      <c r="CC13" s="610"/>
      <c r="CD13" s="610">
        <f t="shared" si="26"/>
        <v>0.79185520361990946</v>
      </c>
      <c r="CE13" s="610" t="e">
        <f t="shared" si="27"/>
        <v>#VALUE!</v>
      </c>
      <c r="CF13" s="610">
        <f t="shared" ref="CF13:CF20" si="34">IF(AW13-AV13&gt;0,AW13-AV13,0)</f>
        <v>2.0000000000000018E-2</v>
      </c>
      <c r="CG13" s="610">
        <f t="shared" ref="CG13:CG20" si="35">IF(AW13-AV13&gt;0,AX13+AY13,AW13+AX13+AY13-AV13)</f>
        <v>0.89800000000000002</v>
      </c>
    </row>
    <row r="14" spans="2:85" ht="20.149999999999999" customHeight="1" x14ac:dyDescent="0.2">
      <c r="B14" s="31" t="s">
        <v>643</v>
      </c>
      <c r="C14" s="32" t="s">
        <v>635</v>
      </c>
      <c r="D14" s="33">
        <v>26.2</v>
      </c>
      <c r="E14" s="34">
        <v>4.7999999999999996E-3</v>
      </c>
      <c r="F14" s="341">
        <v>0.2</v>
      </c>
      <c r="G14" s="35">
        <v>7.8</v>
      </c>
      <c r="H14" s="36">
        <v>9.8000000000000004E-2</v>
      </c>
      <c r="I14" s="35">
        <v>3.2</v>
      </c>
      <c r="J14" s="341">
        <v>0.1</v>
      </c>
      <c r="K14" s="624">
        <f>0.5*0.0094</f>
        <v>4.7000000000000002E-3</v>
      </c>
      <c r="L14" s="348">
        <v>0.04</v>
      </c>
      <c r="M14" s="34">
        <v>56</v>
      </c>
      <c r="N14" s="624">
        <f>0.5*17</f>
        <v>8.5</v>
      </c>
      <c r="O14" s="216" t="s">
        <v>232</v>
      </c>
      <c r="P14" s="35">
        <v>52</v>
      </c>
      <c r="Q14" s="624">
        <f>0.5*31</f>
        <v>15.5</v>
      </c>
      <c r="R14" s="624">
        <f t="shared" si="28"/>
        <v>7</v>
      </c>
      <c r="S14" s="624">
        <f>0.5*2.9</f>
        <v>1.45</v>
      </c>
      <c r="T14" s="35">
        <v>5.7</v>
      </c>
      <c r="U14" s="35">
        <v>1.2</v>
      </c>
      <c r="V14" s="35">
        <v>4.4000000000000004</v>
      </c>
      <c r="W14" s="35">
        <v>25</v>
      </c>
      <c r="X14" s="624">
        <f>0.5*0.074</f>
        <v>3.6999999999999998E-2</v>
      </c>
      <c r="Y14" s="35">
        <v>2.4</v>
      </c>
      <c r="Z14" s="35">
        <v>6.2</v>
      </c>
      <c r="AA14" s="35">
        <v>24</v>
      </c>
      <c r="AB14" s="35">
        <v>0.64</v>
      </c>
      <c r="AC14" s="341">
        <v>0.5</v>
      </c>
      <c r="AD14" s="35">
        <v>0.15</v>
      </c>
      <c r="AE14" s="624">
        <f t="shared" si="29"/>
        <v>1.75</v>
      </c>
      <c r="AF14" s="35">
        <v>0.69</v>
      </c>
      <c r="AG14" s="35">
        <v>2.5000000000000001E-2</v>
      </c>
      <c r="AH14" s="35">
        <v>2.7</v>
      </c>
      <c r="AI14" s="35">
        <v>5.5E-2</v>
      </c>
      <c r="AJ14" s="35">
        <v>6.9000000000000006E-2</v>
      </c>
      <c r="AK14" s="35">
        <v>2.5000000000000001E-3</v>
      </c>
      <c r="AL14" s="628">
        <f t="shared" si="30"/>
        <v>8.0000000000000002E-3</v>
      </c>
      <c r="AM14" s="33">
        <v>0.42</v>
      </c>
      <c r="AN14" s="628">
        <f t="shared" si="31"/>
        <v>1.95E-2</v>
      </c>
      <c r="AO14" s="628">
        <f t="shared" si="32"/>
        <v>2.8500000000000001E-3</v>
      </c>
      <c r="AP14" s="288">
        <v>4</v>
      </c>
      <c r="AQ14" s="32"/>
      <c r="AR14" s="623">
        <f t="shared" si="33"/>
        <v>2.75E-2</v>
      </c>
      <c r="AS14" s="36">
        <v>1.6</v>
      </c>
      <c r="AT14" s="36">
        <v>1.1000000000000001</v>
      </c>
      <c r="AU14" s="36">
        <v>0.66</v>
      </c>
      <c r="AV14" s="36">
        <v>1.2</v>
      </c>
      <c r="AW14" s="35">
        <v>1.3</v>
      </c>
      <c r="AX14" s="33">
        <v>1.5</v>
      </c>
      <c r="AY14" s="628">
        <f>0.5*0.016</f>
        <v>8.0000000000000002E-3</v>
      </c>
      <c r="AZ14" s="33">
        <v>4.5999999999999996</v>
      </c>
      <c r="BA14" s="33">
        <v>1.6</v>
      </c>
      <c r="BB14" s="238" t="s">
        <v>232</v>
      </c>
      <c r="BC14" s="619">
        <f t="shared" si="3"/>
        <v>0.99728260869565233</v>
      </c>
      <c r="BD14" s="610">
        <f t="shared" si="4"/>
        <v>1.0049999999999999</v>
      </c>
      <c r="BF14" s="610">
        <f t="shared" si="5"/>
        <v>1.352112676056338E-4</v>
      </c>
      <c r="BG14" s="610">
        <f t="shared" si="6"/>
        <v>3.2258064516129032E-3</v>
      </c>
      <c r="BH14" s="610">
        <f t="shared" si="7"/>
        <v>0.16250000000000001</v>
      </c>
      <c r="BI14" s="610">
        <f t="shared" si="8"/>
        <v>4.2608695652173916E-3</v>
      </c>
      <c r="BJ14" s="610">
        <f t="shared" si="9"/>
        <v>0.17777777777777778</v>
      </c>
      <c r="BK14" s="610">
        <f t="shared" si="10"/>
        <v>2.5641025641025641E-3</v>
      </c>
      <c r="BL14" s="610">
        <f t="shared" si="11"/>
        <v>3.8683127572016461E-4</v>
      </c>
      <c r="BM14" s="610">
        <f t="shared" si="12"/>
        <v>2E-3</v>
      </c>
      <c r="BN14" s="563">
        <f t="shared" si="13"/>
        <v>165.86101771921855</v>
      </c>
      <c r="BO14" s="563">
        <f t="shared" si="14"/>
        <v>186.98958118281791</v>
      </c>
      <c r="BP14" s="611">
        <f t="shared" si="15"/>
        <v>0.8870067341188268</v>
      </c>
      <c r="BR14" s="564">
        <f t="shared" si="16"/>
        <v>10.725</v>
      </c>
      <c r="BS14" s="564">
        <f t="shared" si="17"/>
        <v>0.25800000000000001</v>
      </c>
      <c r="BT14" s="564">
        <f t="shared" si="18"/>
        <v>0.245</v>
      </c>
      <c r="BU14" s="564">
        <f t="shared" si="19"/>
        <v>7.3599999999999994</v>
      </c>
      <c r="BV14" s="564">
        <f t="shared" si="20"/>
        <v>1.6</v>
      </c>
      <c r="BW14" s="564">
        <f t="shared" si="21"/>
        <v>7.8115000000000004E-2</v>
      </c>
      <c r="BX14" s="564">
        <f t="shared" si="0"/>
        <v>2.1699999999999997E-2</v>
      </c>
      <c r="BY14" s="564">
        <f t="shared" si="22"/>
        <v>3.4499999999999996E-2</v>
      </c>
      <c r="BZ14" s="564">
        <f t="shared" si="23"/>
        <v>2.4214999999999996E-3</v>
      </c>
      <c r="CA14" s="564">
        <f t="shared" si="24"/>
        <v>20.324736500000004</v>
      </c>
      <c r="CB14" s="611">
        <f t="shared" si="25"/>
        <v>0.77575330152671773</v>
      </c>
      <c r="CC14" s="610"/>
      <c r="CD14" s="610">
        <f t="shared" si="26"/>
        <v>0.74193548387096775</v>
      </c>
      <c r="CE14" s="610" t="e">
        <f t="shared" si="27"/>
        <v>#VALUE!</v>
      </c>
      <c r="CF14" s="610">
        <f t="shared" si="34"/>
        <v>0.10000000000000009</v>
      </c>
      <c r="CG14" s="610">
        <f t="shared" si="35"/>
        <v>1.508</v>
      </c>
    </row>
    <row r="15" spans="2:85" ht="20.149999999999999" customHeight="1" x14ac:dyDescent="0.2">
      <c r="B15" s="31" t="s">
        <v>643</v>
      </c>
      <c r="C15" s="32" t="s">
        <v>636</v>
      </c>
      <c r="D15" s="33">
        <v>31.2</v>
      </c>
      <c r="E15" s="34">
        <v>5.7999999999999996E-3</v>
      </c>
      <c r="F15" s="35">
        <v>0.31</v>
      </c>
      <c r="G15" s="35">
        <v>9.6999999999999993</v>
      </c>
      <c r="H15" s="36">
        <v>7.6999999999999999E-2</v>
      </c>
      <c r="I15" s="35">
        <v>4.0999999999999996</v>
      </c>
      <c r="J15" s="35">
        <v>8.7999999999999995E-2</v>
      </c>
      <c r="K15" s="624">
        <f>0.5*0.0094</f>
        <v>4.7000000000000002E-3</v>
      </c>
      <c r="L15" s="32">
        <v>3.3000000000000002E-2</v>
      </c>
      <c r="M15" s="34">
        <v>49</v>
      </c>
      <c r="N15" s="624">
        <f>0.5*17</f>
        <v>8.5</v>
      </c>
      <c r="O15" s="216" t="s">
        <v>232</v>
      </c>
      <c r="P15" s="35">
        <v>56</v>
      </c>
      <c r="Q15" s="624">
        <f>0.5*31</f>
        <v>15.5</v>
      </c>
      <c r="R15" s="624">
        <f t="shared" si="28"/>
        <v>7</v>
      </c>
      <c r="S15" s="624">
        <f>0.5*2.9</f>
        <v>1.45</v>
      </c>
      <c r="T15" s="35">
        <v>10</v>
      </c>
      <c r="U15" s="35">
        <v>0.68</v>
      </c>
      <c r="V15" s="35">
        <v>3.6</v>
      </c>
      <c r="W15" s="35">
        <v>24</v>
      </c>
      <c r="X15" s="624">
        <f>0.5*0.074</f>
        <v>3.6999999999999998E-2</v>
      </c>
      <c r="Y15" s="35">
        <v>2.2000000000000002</v>
      </c>
      <c r="Z15" s="288">
        <v>2</v>
      </c>
      <c r="AA15" s="35">
        <v>29</v>
      </c>
      <c r="AB15" s="35">
        <v>1.2</v>
      </c>
      <c r="AC15" s="35">
        <v>0.56999999999999995</v>
      </c>
      <c r="AD15" s="35">
        <v>0.19</v>
      </c>
      <c r="AE15" s="624">
        <f t="shared" si="29"/>
        <v>1.75</v>
      </c>
      <c r="AF15" s="35">
        <v>0.74</v>
      </c>
      <c r="AG15" s="35">
        <v>3.9E-2</v>
      </c>
      <c r="AH15" s="35">
        <v>2.2000000000000002</v>
      </c>
      <c r="AI15" s="35">
        <v>4.7E-2</v>
      </c>
      <c r="AJ15" s="291">
        <v>0.06</v>
      </c>
      <c r="AK15" s="342">
        <v>5.0000000000000001E-3</v>
      </c>
      <c r="AL15" s="628">
        <f t="shared" si="30"/>
        <v>8.0000000000000002E-3</v>
      </c>
      <c r="AM15" s="33">
        <v>0.36</v>
      </c>
      <c r="AN15" s="628">
        <f t="shared" si="31"/>
        <v>1.95E-2</v>
      </c>
      <c r="AO15" s="628">
        <f t="shared" si="32"/>
        <v>2.8500000000000001E-3</v>
      </c>
      <c r="AP15" s="35">
        <v>5.0999999999999996</v>
      </c>
      <c r="AQ15" s="32"/>
      <c r="AR15" s="623">
        <f t="shared" si="33"/>
        <v>2.75E-2</v>
      </c>
      <c r="AS15" s="36">
        <v>1.5</v>
      </c>
      <c r="AT15" s="36">
        <v>0.92</v>
      </c>
      <c r="AU15" s="36">
        <v>0.67</v>
      </c>
      <c r="AV15" s="36">
        <v>1.3</v>
      </c>
      <c r="AW15" s="35">
        <v>1.4</v>
      </c>
      <c r="AX15" s="33">
        <v>1.8</v>
      </c>
      <c r="AY15" s="33">
        <v>4.4999999999999998E-2</v>
      </c>
      <c r="AZ15" s="33">
        <v>4.4000000000000004</v>
      </c>
      <c r="BA15" s="33">
        <v>1.9</v>
      </c>
      <c r="BB15" s="238" t="s">
        <v>232</v>
      </c>
      <c r="BC15" s="619">
        <f t="shared" si="3"/>
        <v>1.0039772727272727</v>
      </c>
      <c r="BD15" s="610">
        <f t="shared" si="4"/>
        <v>1.023684210526316</v>
      </c>
      <c r="BF15" s="610">
        <f t="shared" si="5"/>
        <v>1.6338028169014083E-4</v>
      </c>
      <c r="BG15" s="610">
        <f t="shared" si="6"/>
        <v>5.0000000000000001E-3</v>
      </c>
      <c r="BH15" s="610">
        <f t="shared" si="7"/>
        <v>0.20208333333333331</v>
      </c>
      <c r="BI15" s="610">
        <f t="shared" si="8"/>
        <v>3.3478260869565218E-3</v>
      </c>
      <c r="BJ15" s="610">
        <f t="shared" si="9"/>
        <v>0.22777777777777775</v>
      </c>
      <c r="BK15" s="610">
        <f t="shared" si="10"/>
        <v>2.2564102564102562E-3</v>
      </c>
      <c r="BL15" s="610">
        <f t="shared" si="11"/>
        <v>3.8683127572016461E-4</v>
      </c>
      <c r="BM15" s="610">
        <f t="shared" si="12"/>
        <v>1.65E-3</v>
      </c>
      <c r="BN15" s="563">
        <f t="shared" si="13"/>
        <v>207.24671361502345</v>
      </c>
      <c r="BO15" s="563">
        <f t="shared" si="14"/>
        <v>235.41884539686473</v>
      </c>
      <c r="BP15" s="611">
        <f t="shared" si="15"/>
        <v>0.88033187515490008</v>
      </c>
      <c r="BR15" s="564">
        <f t="shared" si="16"/>
        <v>13.337499999999999</v>
      </c>
      <c r="BS15" s="564">
        <f t="shared" si="17"/>
        <v>0.39990000000000003</v>
      </c>
      <c r="BT15" s="564">
        <f t="shared" si="18"/>
        <v>0.1925</v>
      </c>
      <c r="BU15" s="564">
        <f t="shared" si="19"/>
        <v>7.0400000000000009</v>
      </c>
      <c r="BV15" s="564">
        <f t="shared" si="20"/>
        <v>1.9</v>
      </c>
      <c r="BW15" s="564">
        <f t="shared" si="21"/>
        <v>7.8115000000000004E-2</v>
      </c>
      <c r="BX15" s="564">
        <f t="shared" si="0"/>
        <v>2.1699999999999997E-2</v>
      </c>
      <c r="BY15" s="564">
        <f t="shared" si="22"/>
        <v>3.3119999999999997E-2</v>
      </c>
      <c r="BZ15" s="564">
        <f t="shared" si="23"/>
        <v>2.4214999999999996E-3</v>
      </c>
      <c r="CA15" s="564">
        <f t="shared" si="24"/>
        <v>23.005256500000002</v>
      </c>
      <c r="CB15" s="611">
        <f t="shared" si="25"/>
        <v>0.73734796474358977</v>
      </c>
      <c r="CC15" s="610"/>
      <c r="CD15" s="610">
        <f t="shared" si="26"/>
        <v>0.69841269841269837</v>
      </c>
      <c r="CE15" s="610" t="e">
        <f t="shared" si="27"/>
        <v>#VALUE!</v>
      </c>
      <c r="CF15" s="610">
        <f t="shared" si="34"/>
        <v>9.9999999999999867E-2</v>
      </c>
      <c r="CG15" s="610">
        <f t="shared" si="35"/>
        <v>1.845</v>
      </c>
    </row>
    <row r="16" spans="2:85" ht="20.149999999999999" customHeight="1" x14ac:dyDescent="0.2">
      <c r="B16" s="31" t="s">
        <v>643</v>
      </c>
      <c r="C16" s="32" t="s">
        <v>637</v>
      </c>
      <c r="D16" s="33">
        <v>38.200000000000003</v>
      </c>
      <c r="E16" s="34">
        <v>7.7999999999999996E-3</v>
      </c>
      <c r="F16" s="35">
        <v>0.15</v>
      </c>
      <c r="G16" s="35">
        <v>14</v>
      </c>
      <c r="H16" s="36">
        <v>8.6999999999999994E-2</v>
      </c>
      <c r="I16" s="35">
        <v>5.5</v>
      </c>
      <c r="J16" s="35">
        <v>0.14000000000000001</v>
      </c>
      <c r="K16" s="624">
        <f>0.5*0.0094</f>
        <v>4.7000000000000002E-3</v>
      </c>
      <c r="L16" s="32">
        <v>5.3999999999999999E-2</v>
      </c>
      <c r="M16" s="34">
        <v>55</v>
      </c>
      <c r="N16" s="624">
        <f>0.5*17</f>
        <v>8.5</v>
      </c>
      <c r="O16" s="216" t="s">
        <v>232</v>
      </c>
      <c r="P16" s="35">
        <v>79</v>
      </c>
      <c r="Q16" s="624">
        <f>0.5*31</f>
        <v>15.5</v>
      </c>
      <c r="R16" s="624">
        <f t="shared" si="28"/>
        <v>7</v>
      </c>
      <c r="S16" s="288">
        <v>4</v>
      </c>
      <c r="T16" s="35">
        <v>11</v>
      </c>
      <c r="U16" s="35">
        <v>0.59</v>
      </c>
      <c r="V16" s="35">
        <v>5.5</v>
      </c>
      <c r="W16" s="35">
        <v>30</v>
      </c>
      <c r="X16" s="624">
        <f>0.5*0.074</f>
        <v>3.6999999999999998E-2</v>
      </c>
      <c r="Y16" s="35">
        <v>3.5</v>
      </c>
      <c r="Z16" s="35">
        <v>2.7</v>
      </c>
      <c r="AA16" s="35">
        <v>36</v>
      </c>
      <c r="AB16" s="35">
        <v>1.6</v>
      </c>
      <c r="AC16" s="35">
        <v>0.73</v>
      </c>
      <c r="AD16" s="341">
        <v>0.3</v>
      </c>
      <c r="AE16" s="624">
        <f t="shared" si="29"/>
        <v>1.75</v>
      </c>
      <c r="AF16" s="288">
        <v>1</v>
      </c>
      <c r="AG16" s="35">
        <v>4.3999999999999997E-2</v>
      </c>
      <c r="AH16" s="35">
        <v>3.2</v>
      </c>
      <c r="AI16" s="35">
        <v>6.5000000000000002E-2</v>
      </c>
      <c r="AJ16" s="35">
        <v>0.11</v>
      </c>
      <c r="AK16" s="35">
        <v>2.5000000000000001E-3</v>
      </c>
      <c r="AL16" s="628">
        <f t="shared" si="30"/>
        <v>8.0000000000000002E-3</v>
      </c>
      <c r="AM16" s="33">
        <v>0.75</v>
      </c>
      <c r="AN16" s="628">
        <f t="shared" si="31"/>
        <v>1.95E-2</v>
      </c>
      <c r="AO16" s="628">
        <f t="shared" si="32"/>
        <v>2.8500000000000001E-3</v>
      </c>
      <c r="AP16" s="35">
        <v>7.5</v>
      </c>
      <c r="AQ16" s="32"/>
      <c r="AR16" s="623">
        <f t="shared" si="33"/>
        <v>2.75E-2</v>
      </c>
      <c r="AS16" s="36">
        <v>1.6</v>
      </c>
      <c r="AT16" s="349">
        <v>1</v>
      </c>
      <c r="AU16" s="36">
        <v>0.7</v>
      </c>
      <c r="AV16" s="36">
        <v>1.4</v>
      </c>
      <c r="AW16" s="35">
        <v>1.5</v>
      </c>
      <c r="AX16" s="33">
        <v>1.8</v>
      </c>
      <c r="AY16" s="350">
        <v>0.02</v>
      </c>
      <c r="AZ16" s="33">
        <v>4.7</v>
      </c>
      <c r="BA16" s="33">
        <v>1.9</v>
      </c>
      <c r="BB16" s="238" t="s">
        <v>232</v>
      </c>
      <c r="BC16" s="619">
        <f t="shared" si="3"/>
        <v>1.0058510638297873</v>
      </c>
      <c r="BD16" s="610">
        <f t="shared" si="4"/>
        <v>1.0105263157894737</v>
      </c>
      <c r="BF16" s="610">
        <f t="shared" si="5"/>
        <v>2.1971830985915492E-4</v>
      </c>
      <c r="BG16" s="610">
        <f t="shared" si="6"/>
        <v>2.4193548387096775E-3</v>
      </c>
      <c r="BH16" s="610">
        <f t="shared" si="7"/>
        <v>0.29166666666666669</v>
      </c>
      <c r="BI16" s="610">
        <f t="shared" si="8"/>
        <v>3.7826086956521737E-3</v>
      </c>
      <c r="BJ16" s="610">
        <f t="shared" si="9"/>
        <v>0.30555555555555558</v>
      </c>
      <c r="BK16" s="610">
        <f t="shared" si="10"/>
        <v>3.5897435897435902E-3</v>
      </c>
      <c r="BL16" s="610">
        <f t="shared" si="11"/>
        <v>3.8683127572016461E-4</v>
      </c>
      <c r="BM16" s="610">
        <f t="shared" si="12"/>
        <v>2.7000000000000001E-3</v>
      </c>
      <c r="BN16" s="563">
        <f t="shared" si="13"/>
        <v>294.30573981523548</v>
      </c>
      <c r="BO16" s="563">
        <f t="shared" si="14"/>
        <v>316.01473911667142</v>
      </c>
      <c r="BP16" s="611">
        <f t="shared" si="15"/>
        <v>0.93130383930155525</v>
      </c>
      <c r="BR16" s="564">
        <f t="shared" si="16"/>
        <v>19.25</v>
      </c>
      <c r="BS16" s="564">
        <f t="shared" si="17"/>
        <v>0.19350000000000001</v>
      </c>
      <c r="BT16" s="564">
        <f t="shared" si="18"/>
        <v>0.21749999999999997</v>
      </c>
      <c r="BU16" s="564">
        <f t="shared" si="19"/>
        <v>7.5200000000000005</v>
      </c>
      <c r="BV16" s="564">
        <f t="shared" si="20"/>
        <v>1.9</v>
      </c>
      <c r="BW16" s="564">
        <f t="shared" si="21"/>
        <v>7.8115000000000004E-2</v>
      </c>
      <c r="BX16" s="564">
        <f t="shared" si="0"/>
        <v>2.1699999999999997E-2</v>
      </c>
      <c r="BY16" s="564">
        <f t="shared" si="22"/>
        <v>4.1399999999999992E-2</v>
      </c>
      <c r="BZ16" s="564">
        <f t="shared" si="23"/>
        <v>6.6800000000000002E-3</v>
      </c>
      <c r="CA16" s="564">
        <f t="shared" si="24"/>
        <v>29.228894999999998</v>
      </c>
      <c r="CB16" s="611">
        <f t="shared" si="25"/>
        <v>0.76515431937172762</v>
      </c>
      <c r="CC16" s="610"/>
      <c r="CD16" s="610">
        <f t="shared" si="26"/>
        <v>0.71212121212121215</v>
      </c>
      <c r="CE16" s="610" t="e">
        <f t="shared" si="27"/>
        <v>#VALUE!</v>
      </c>
      <c r="CF16" s="610">
        <f t="shared" si="34"/>
        <v>0.10000000000000009</v>
      </c>
      <c r="CG16" s="610">
        <f t="shared" si="35"/>
        <v>1.82</v>
      </c>
    </row>
    <row r="17" spans="2:85" ht="20.149999999999999" customHeight="1" thickBot="1" x14ac:dyDescent="0.25">
      <c r="B17" s="31" t="s">
        <v>643</v>
      </c>
      <c r="C17" s="32" t="s">
        <v>638</v>
      </c>
      <c r="D17" s="33">
        <v>37.799999999999997</v>
      </c>
      <c r="E17" s="34">
        <v>8.0999999999999996E-3</v>
      </c>
      <c r="F17" s="35">
        <v>8.2000000000000003E-2</v>
      </c>
      <c r="G17" s="35">
        <v>14</v>
      </c>
      <c r="H17" s="36">
        <v>7.5999999999999998E-2</v>
      </c>
      <c r="I17" s="35">
        <v>5.3</v>
      </c>
      <c r="J17" s="35">
        <v>0.21</v>
      </c>
      <c r="K17" s="35">
        <v>9.7000000000000003E-3</v>
      </c>
      <c r="L17" s="32">
        <v>9.5000000000000001E-2</v>
      </c>
      <c r="M17" s="34">
        <v>88</v>
      </c>
      <c r="N17" s="35">
        <v>75</v>
      </c>
      <c r="O17" s="225" t="s">
        <v>232</v>
      </c>
      <c r="P17" s="35">
        <v>210</v>
      </c>
      <c r="Q17" s="35">
        <v>57</v>
      </c>
      <c r="R17" s="624">
        <f t="shared" si="28"/>
        <v>7</v>
      </c>
      <c r="S17" s="35">
        <v>9.6</v>
      </c>
      <c r="T17" s="35">
        <v>19</v>
      </c>
      <c r="U17" s="35">
        <v>0.49</v>
      </c>
      <c r="V17" s="288">
        <v>6</v>
      </c>
      <c r="W17" s="35">
        <v>55</v>
      </c>
      <c r="X17" s="341">
        <v>0.1</v>
      </c>
      <c r="Y17" s="35">
        <v>7.1</v>
      </c>
      <c r="Z17" s="35">
        <v>6.4</v>
      </c>
      <c r="AA17" s="35">
        <v>48</v>
      </c>
      <c r="AB17" s="35">
        <v>2.7</v>
      </c>
      <c r="AC17" s="35">
        <v>1.9</v>
      </c>
      <c r="AD17" s="35">
        <v>0.54</v>
      </c>
      <c r="AE17" s="624">
        <f t="shared" si="29"/>
        <v>1.75</v>
      </c>
      <c r="AF17" s="35">
        <v>1.8</v>
      </c>
      <c r="AG17" s="291">
        <v>0.09</v>
      </c>
      <c r="AH17" s="35">
        <v>11</v>
      </c>
      <c r="AI17" s="35">
        <v>0.15</v>
      </c>
      <c r="AJ17" s="35">
        <v>0.26</v>
      </c>
      <c r="AK17" s="35">
        <v>8.8000000000000005E-3</v>
      </c>
      <c r="AL17" s="628">
        <f t="shared" si="30"/>
        <v>8.0000000000000002E-3</v>
      </c>
      <c r="AM17" s="33">
        <v>0.59</v>
      </c>
      <c r="AN17" s="628">
        <f t="shared" si="31"/>
        <v>1.95E-2</v>
      </c>
      <c r="AO17" s="628">
        <f t="shared" si="32"/>
        <v>2.8500000000000001E-3</v>
      </c>
      <c r="AP17" s="35">
        <v>13</v>
      </c>
      <c r="AQ17" s="32"/>
      <c r="AR17" s="623">
        <f t="shared" si="33"/>
        <v>2.75E-2</v>
      </c>
      <c r="AS17" s="36">
        <v>1.2</v>
      </c>
      <c r="AT17" s="36">
        <v>0.74</v>
      </c>
      <c r="AU17" s="36">
        <v>0.57999999999999996</v>
      </c>
      <c r="AV17" s="36">
        <v>1.3</v>
      </c>
      <c r="AW17" s="35">
        <v>1.3</v>
      </c>
      <c r="AX17" s="33">
        <v>1.5</v>
      </c>
      <c r="AY17" s="33">
        <v>2.5000000000000001E-2</v>
      </c>
      <c r="AZ17" s="33">
        <v>3.8</v>
      </c>
      <c r="BA17" s="33">
        <v>1.5</v>
      </c>
      <c r="BB17" s="238" t="s">
        <v>232</v>
      </c>
      <c r="BC17" s="619">
        <f t="shared" si="3"/>
        <v>1.0125000000000002</v>
      </c>
      <c r="BD17" s="610">
        <f t="shared" si="4"/>
        <v>1.0166666666666664</v>
      </c>
      <c r="BF17" s="610">
        <f t="shared" si="5"/>
        <v>2.2816901408450704E-4</v>
      </c>
      <c r="BG17" s="610">
        <f t="shared" si="6"/>
        <v>1.3225806451612903E-3</v>
      </c>
      <c r="BH17" s="610">
        <f t="shared" si="7"/>
        <v>0.29166666666666669</v>
      </c>
      <c r="BI17" s="610">
        <f t="shared" si="8"/>
        <v>3.3043478260869562E-3</v>
      </c>
      <c r="BJ17" s="610">
        <f t="shared" si="9"/>
        <v>0.29444444444444445</v>
      </c>
      <c r="BK17" s="610">
        <f t="shared" si="10"/>
        <v>5.3846153846153844E-3</v>
      </c>
      <c r="BL17" s="610">
        <f t="shared" si="11"/>
        <v>7.9835390946502056E-4</v>
      </c>
      <c r="BM17" s="610">
        <f t="shared" si="12"/>
        <v>4.7499999999999999E-3</v>
      </c>
      <c r="BN17" s="563">
        <f t="shared" si="13"/>
        <v>293.2174163259125</v>
      </c>
      <c r="BO17" s="563">
        <f t="shared" si="14"/>
        <v>308.6817615646118</v>
      </c>
      <c r="BP17" s="611">
        <f t="shared" si="15"/>
        <v>0.94990197943566423</v>
      </c>
      <c r="BR17" s="564">
        <f t="shared" si="16"/>
        <v>19.25</v>
      </c>
      <c r="BS17" s="564">
        <f t="shared" si="17"/>
        <v>0.10578000000000001</v>
      </c>
      <c r="BT17" s="564">
        <f t="shared" si="18"/>
        <v>0.19</v>
      </c>
      <c r="BU17" s="564">
        <f t="shared" si="19"/>
        <v>6.08</v>
      </c>
      <c r="BV17" s="564">
        <f t="shared" si="20"/>
        <v>1.5</v>
      </c>
      <c r="BW17" s="564">
        <f t="shared" si="21"/>
        <v>0.68925000000000003</v>
      </c>
      <c r="BX17" s="564">
        <f t="shared" si="0"/>
        <v>7.9799999999999996E-2</v>
      </c>
      <c r="BY17" s="564">
        <f t="shared" si="22"/>
        <v>7.5899999999999995E-2</v>
      </c>
      <c r="BZ17" s="564">
        <f t="shared" si="23"/>
        <v>1.6031999999999998E-2</v>
      </c>
      <c r="CA17" s="564">
        <f t="shared" si="24"/>
        <v>27.986761999999999</v>
      </c>
      <c r="CB17" s="611">
        <f t="shared" si="25"/>
        <v>0.74039052910052916</v>
      </c>
      <c r="CC17" s="610"/>
      <c r="CD17" s="610">
        <f t="shared" si="26"/>
        <v>0.71698113207547165</v>
      </c>
      <c r="CE17" s="610" t="e">
        <f t="shared" si="27"/>
        <v>#VALUE!</v>
      </c>
      <c r="CF17" s="610">
        <f t="shared" si="34"/>
        <v>0</v>
      </c>
      <c r="CG17" s="610">
        <f t="shared" si="35"/>
        <v>1.5249999999999997</v>
      </c>
    </row>
    <row r="18" spans="2:85" ht="20.149999999999999" customHeight="1" thickBot="1" x14ac:dyDescent="0.25">
      <c r="B18" s="39" t="s">
        <v>643</v>
      </c>
      <c r="C18" s="45" t="s">
        <v>639</v>
      </c>
      <c r="D18" s="41">
        <v>34.1</v>
      </c>
      <c r="E18" s="351">
        <v>8.9999999999999993E-3</v>
      </c>
      <c r="F18" s="43">
        <v>3.5000000000000003E-2</v>
      </c>
      <c r="G18" s="43">
        <v>14</v>
      </c>
      <c r="H18" s="44">
        <v>8.1000000000000003E-2</v>
      </c>
      <c r="I18" s="43">
        <v>5.6</v>
      </c>
      <c r="J18" s="43">
        <v>0.14000000000000001</v>
      </c>
      <c r="K18" s="626">
        <f>0.5*0.0094</f>
        <v>4.7000000000000002E-3</v>
      </c>
      <c r="L18" s="45">
        <v>7.1999999999999995E-2</v>
      </c>
      <c r="M18" s="42">
        <v>40</v>
      </c>
      <c r="N18" s="626">
        <f>0.5*17</f>
        <v>8.5</v>
      </c>
      <c r="O18" s="352" t="s">
        <v>232</v>
      </c>
      <c r="P18" s="43">
        <v>70</v>
      </c>
      <c r="Q18" s="626">
        <f>0.5*31</f>
        <v>15.5</v>
      </c>
      <c r="R18" s="626">
        <f t="shared" si="28"/>
        <v>7</v>
      </c>
      <c r="S18" s="626">
        <f>0.5*2.9</f>
        <v>1.45</v>
      </c>
      <c r="T18" s="43">
        <v>11</v>
      </c>
      <c r="U18" s="626">
        <f>0.5*0.45</f>
        <v>0.22500000000000001</v>
      </c>
      <c r="V18" s="43">
        <v>1.8</v>
      </c>
      <c r="W18" s="43">
        <v>15</v>
      </c>
      <c r="X18" s="626">
        <f>0.5*0.074</f>
        <v>3.6999999999999998E-2</v>
      </c>
      <c r="Y18" s="353">
        <v>2</v>
      </c>
      <c r="Z18" s="626">
        <f>0.5*1.3</f>
        <v>0.65</v>
      </c>
      <c r="AA18" s="43">
        <v>14</v>
      </c>
      <c r="AB18" s="43">
        <v>1.1000000000000001</v>
      </c>
      <c r="AC18" s="43">
        <v>0.82</v>
      </c>
      <c r="AD18" s="43">
        <v>0.19</v>
      </c>
      <c r="AE18" s="626">
        <f t="shared" si="29"/>
        <v>1.75</v>
      </c>
      <c r="AF18" s="626">
        <f>0.5*0.4</f>
        <v>0.2</v>
      </c>
      <c r="AG18" s="43">
        <v>2.1000000000000001E-2</v>
      </c>
      <c r="AH18" s="43">
        <v>2.1</v>
      </c>
      <c r="AI18" s="43">
        <v>2.1999999999999999E-2</v>
      </c>
      <c r="AJ18" s="43">
        <v>3.5000000000000003E-2</v>
      </c>
      <c r="AK18" s="43">
        <v>2.5000000000000001E-3</v>
      </c>
      <c r="AL18" s="629">
        <f t="shared" si="30"/>
        <v>8.0000000000000002E-3</v>
      </c>
      <c r="AM18" s="629">
        <f>0.5*0.17</f>
        <v>8.5000000000000006E-2</v>
      </c>
      <c r="AN18" s="629">
        <f t="shared" si="31"/>
        <v>1.95E-2</v>
      </c>
      <c r="AO18" s="629">
        <f t="shared" si="32"/>
        <v>2.8500000000000001E-3</v>
      </c>
      <c r="AP18" s="43">
        <v>3.7</v>
      </c>
      <c r="AQ18" s="45"/>
      <c r="AR18" s="631">
        <f t="shared" si="33"/>
        <v>2.75E-2</v>
      </c>
      <c r="AS18" s="44">
        <v>0.66</v>
      </c>
      <c r="AT18" s="44">
        <v>0.44</v>
      </c>
      <c r="AU18" s="44">
        <v>0.33</v>
      </c>
      <c r="AV18" s="44">
        <v>0.71</v>
      </c>
      <c r="AW18" s="43">
        <v>0.77</v>
      </c>
      <c r="AX18" s="41">
        <v>0.96</v>
      </c>
      <c r="AY18" s="629">
        <f>0.5*0.016</f>
        <v>8.0000000000000002E-3</v>
      </c>
      <c r="AZ18" s="41">
        <v>2.1</v>
      </c>
      <c r="BA18" s="354">
        <v>1</v>
      </c>
      <c r="BB18" s="224" t="s">
        <v>232</v>
      </c>
      <c r="BC18" s="620">
        <f t="shared" si="3"/>
        <v>1.032142857142857</v>
      </c>
      <c r="BD18" s="617">
        <f t="shared" si="4"/>
        <v>1.028</v>
      </c>
      <c r="BE18" s="616"/>
      <c r="BF18" s="617">
        <f t="shared" si="5"/>
        <v>2.5352112676056335E-4</v>
      </c>
      <c r="BG18" s="617">
        <f t="shared" si="6"/>
        <v>5.6451612903225812E-4</v>
      </c>
      <c r="BH18" s="617">
        <f t="shared" si="7"/>
        <v>0.29166666666666669</v>
      </c>
      <c r="BI18" s="617">
        <f t="shared" si="8"/>
        <v>3.5217391304347826E-3</v>
      </c>
      <c r="BJ18" s="617">
        <f t="shared" si="9"/>
        <v>0.31111111111111112</v>
      </c>
      <c r="BK18" s="617">
        <f t="shared" si="10"/>
        <v>3.5897435897435902E-3</v>
      </c>
      <c r="BL18" s="617">
        <f t="shared" si="11"/>
        <v>3.8683127572016461E-4</v>
      </c>
      <c r="BM18" s="617">
        <f t="shared" si="12"/>
        <v>3.5999999999999999E-3</v>
      </c>
      <c r="BN18" s="621">
        <f t="shared" si="13"/>
        <v>292.48470392245952</v>
      </c>
      <c r="BO18" s="621">
        <f t="shared" si="14"/>
        <v>322.20942510700962</v>
      </c>
      <c r="BP18" s="618">
        <f t="shared" si="15"/>
        <v>0.90774720145235299</v>
      </c>
      <c r="BQ18" s="616"/>
      <c r="BR18" s="615">
        <f t="shared" si="16"/>
        <v>19.25</v>
      </c>
      <c r="BS18" s="615">
        <f t="shared" si="17"/>
        <v>4.5150000000000003E-2</v>
      </c>
      <c r="BT18" s="615">
        <f t="shared" si="18"/>
        <v>0.20250000000000001</v>
      </c>
      <c r="BU18" s="615">
        <f t="shared" si="19"/>
        <v>3.3600000000000003</v>
      </c>
      <c r="BV18" s="615">
        <f t="shared" si="20"/>
        <v>1</v>
      </c>
      <c r="BW18" s="615">
        <f t="shared" si="21"/>
        <v>7.8115000000000004E-2</v>
      </c>
      <c r="BX18" s="615">
        <f t="shared" si="0"/>
        <v>2.1699999999999997E-2</v>
      </c>
      <c r="BY18" s="615">
        <f t="shared" si="22"/>
        <v>2.0699999999999996E-2</v>
      </c>
      <c r="BZ18" s="615">
        <f t="shared" si="23"/>
        <v>2.4214999999999996E-3</v>
      </c>
      <c r="CA18" s="615">
        <f t="shared" si="24"/>
        <v>23.980586500000001</v>
      </c>
      <c r="CB18" s="618">
        <f t="shared" si="25"/>
        <v>0.70324300586510269</v>
      </c>
      <c r="CC18" s="617"/>
      <c r="CD18" s="617">
        <f t="shared" si="26"/>
        <v>0.67741935483870974</v>
      </c>
      <c r="CE18" s="617" t="e">
        <f t="shared" si="27"/>
        <v>#VALUE!</v>
      </c>
      <c r="CF18" s="617">
        <f t="shared" si="34"/>
        <v>6.0000000000000053E-2</v>
      </c>
      <c r="CG18" s="617">
        <f t="shared" si="35"/>
        <v>0.96799999999999997</v>
      </c>
    </row>
    <row r="19" spans="2:85" ht="20.149999999999999" customHeight="1" x14ac:dyDescent="0.2">
      <c r="B19" s="31" t="s">
        <v>642</v>
      </c>
      <c r="C19" s="46" t="s">
        <v>640</v>
      </c>
      <c r="D19" s="47">
        <v>26.4</v>
      </c>
      <c r="E19" s="48">
        <v>5.4000000000000003E-3</v>
      </c>
      <c r="F19" s="49">
        <v>2.8000000000000001E-2</v>
      </c>
      <c r="G19" s="49">
        <v>12</v>
      </c>
      <c r="H19" s="50">
        <v>7.4999999999999997E-2</v>
      </c>
      <c r="I19" s="49">
        <v>4.7</v>
      </c>
      <c r="J19" s="49">
        <v>9.5000000000000001E-2</v>
      </c>
      <c r="K19" s="49" t="s">
        <v>652</v>
      </c>
      <c r="L19" s="37">
        <v>7.5999999999999998E-2</v>
      </c>
      <c r="M19" s="48">
        <v>20</v>
      </c>
      <c r="N19" s="49" t="s">
        <v>558</v>
      </c>
      <c r="O19" s="234" t="s">
        <v>232</v>
      </c>
      <c r="P19" s="49">
        <v>27</v>
      </c>
      <c r="Q19" s="49" t="s">
        <v>654</v>
      </c>
      <c r="R19" s="49" t="s">
        <v>233</v>
      </c>
      <c r="S19" s="49" t="s">
        <v>655</v>
      </c>
      <c r="T19" s="49">
        <v>5.3</v>
      </c>
      <c r="U19" s="49" t="s">
        <v>506</v>
      </c>
      <c r="V19" s="49">
        <v>3.9</v>
      </c>
      <c r="W19" s="49">
        <v>14</v>
      </c>
      <c r="X19" s="49" t="s">
        <v>582</v>
      </c>
      <c r="Y19" s="49">
        <v>1.2</v>
      </c>
      <c r="Z19" s="49">
        <v>2.2999999999999998</v>
      </c>
      <c r="AA19" s="49">
        <v>15</v>
      </c>
      <c r="AB19" s="49">
        <v>0.69</v>
      </c>
      <c r="AC19" s="49">
        <v>0.43</v>
      </c>
      <c r="AD19" s="49">
        <v>0.13</v>
      </c>
      <c r="AE19" s="49" t="s">
        <v>239</v>
      </c>
      <c r="AF19" s="49" t="s">
        <v>434</v>
      </c>
      <c r="AG19" s="49">
        <v>1.6E-2</v>
      </c>
      <c r="AH19" s="49">
        <v>0.85</v>
      </c>
      <c r="AI19" s="49">
        <v>1.0999999999999999E-2</v>
      </c>
      <c r="AJ19" s="49">
        <v>2.1000000000000001E-2</v>
      </c>
      <c r="AK19" s="49" t="s">
        <v>657</v>
      </c>
      <c r="AL19" s="47" t="s">
        <v>285</v>
      </c>
      <c r="AM19" s="47" t="s">
        <v>251</v>
      </c>
      <c r="AN19" s="47" t="s">
        <v>431</v>
      </c>
      <c r="AO19" s="47" t="s">
        <v>462</v>
      </c>
      <c r="AP19" s="346">
        <v>3</v>
      </c>
      <c r="AQ19" s="37"/>
      <c r="AR19" s="48" t="s">
        <v>658</v>
      </c>
      <c r="AS19" s="50">
        <v>0.59</v>
      </c>
      <c r="AT19" s="50">
        <v>0.35</v>
      </c>
      <c r="AU19" s="50">
        <v>0.28999999999999998</v>
      </c>
      <c r="AV19" s="50">
        <v>0.51</v>
      </c>
      <c r="AW19" s="49">
        <v>0.69</v>
      </c>
      <c r="AX19" s="355">
        <v>0.6</v>
      </c>
      <c r="AY19" s="47" t="s">
        <v>285</v>
      </c>
      <c r="AZ19" s="47">
        <v>1.7</v>
      </c>
      <c r="BA19" s="47">
        <v>0.78</v>
      </c>
      <c r="BB19" s="233" t="s">
        <v>232</v>
      </c>
      <c r="BC19" s="619">
        <f t="shared" si="3"/>
        <v>1.0235294117647058</v>
      </c>
      <c r="BD19" s="610">
        <f t="shared" si="4"/>
        <v>1</v>
      </c>
      <c r="BF19" s="610">
        <f t="shared" si="5"/>
        <v>1.5211267605633804E-4</v>
      </c>
      <c r="BG19" s="610">
        <f t="shared" si="6"/>
        <v>4.5161290322580648E-4</v>
      </c>
      <c r="BH19" s="610">
        <f t="shared" si="7"/>
        <v>0.25</v>
      </c>
      <c r="BI19" s="610">
        <f t="shared" si="8"/>
        <v>3.2608695652173911E-3</v>
      </c>
      <c r="BJ19" s="610">
        <f t="shared" si="9"/>
        <v>0.26111111111111113</v>
      </c>
      <c r="BK19" s="610">
        <f t="shared" si="10"/>
        <v>2.435897435897436E-3</v>
      </c>
      <c r="BL19" s="610" t="e">
        <f t="shared" si="11"/>
        <v>#VALUE!</v>
      </c>
      <c r="BM19" s="610">
        <f t="shared" si="12"/>
        <v>3.8E-3</v>
      </c>
      <c r="BN19" s="563">
        <f t="shared" si="13"/>
        <v>250.60372557928213</v>
      </c>
      <c r="BO19" s="563" t="e">
        <f t="shared" si="14"/>
        <v>#VALUE!</v>
      </c>
      <c r="BP19" s="611" t="e">
        <f t="shared" si="15"/>
        <v>#VALUE!</v>
      </c>
      <c r="BR19" s="564">
        <f t="shared" si="16"/>
        <v>16.5</v>
      </c>
      <c r="BS19" s="564">
        <f t="shared" si="17"/>
        <v>3.6119999999999999E-2</v>
      </c>
      <c r="BT19" s="564">
        <f t="shared" si="18"/>
        <v>0.1875</v>
      </c>
      <c r="BU19" s="564">
        <f t="shared" si="19"/>
        <v>2.72</v>
      </c>
      <c r="BV19" s="564">
        <f t="shared" si="20"/>
        <v>0.78</v>
      </c>
      <c r="BW19" s="564" t="e">
        <f t="shared" si="21"/>
        <v>#VALUE!</v>
      </c>
      <c r="BX19" s="564" t="e">
        <f t="shared" si="0"/>
        <v>#VALUE!</v>
      </c>
      <c r="BY19" s="564">
        <f t="shared" si="22"/>
        <v>1.932E-2</v>
      </c>
      <c r="BZ19" s="564" t="e">
        <f t="shared" si="23"/>
        <v>#VALUE!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0.68548387096774188</v>
      </c>
      <c r="CE19" s="610" t="e">
        <f t="shared" si="27"/>
        <v>#VALUE!</v>
      </c>
      <c r="CF19" s="610">
        <f t="shared" si="34"/>
        <v>0.17999999999999994</v>
      </c>
      <c r="CG19" s="610" t="e">
        <f t="shared" si="35"/>
        <v>#VALUE!</v>
      </c>
    </row>
    <row r="20" spans="2:85" ht="20.149999999999999" customHeight="1" x14ac:dyDescent="0.2">
      <c r="B20" s="21" t="s">
        <v>642</v>
      </c>
      <c r="C20" s="52" t="s">
        <v>641</v>
      </c>
      <c r="D20" s="53">
        <v>19.600000000000001</v>
      </c>
      <c r="E20" s="54">
        <v>3.8999999999999998E-3</v>
      </c>
      <c r="F20" s="55">
        <v>2.4E-2</v>
      </c>
      <c r="G20" s="55">
        <v>8.1</v>
      </c>
      <c r="H20" s="356">
        <v>0.06</v>
      </c>
      <c r="I20" s="55">
        <v>3.2</v>
      </c>
      <c r="J20" s="55">
        <v>6.7000000000000004E-2</v>
      </c>
      <c r="K20" s="55" t="s">
        <v>652</v>
      </c>
      <c r="L20" s="52">
        <v>2.7E-2</v>
      </c>
      <c r="M20" s="54">
        <v>37</v>
      </c>
      <c r="N20" s="55" t="s">
        <v>558</v>
      </c>
      <c r="O20" s="244" t="s">
        <v>232</v>
      </c>
      <c r="P20" s="55">
        <v>44</v>
      </c>
      <c r="Q20" s="55" t="s">
        <v>654</v>
      </c>
      <c r="R20" s="55" t="s">
        <v>233</v>
      </c>
      <c r="S20" s="55" t="s">
        <v>655</v>
      </c>
      <c r="T20" s="55">
        <v>4.3</v>
      </c>
      <c r="U20" s="55">
        <v>0.59</v>
      </c>
      <c r="V20" s="55">
        <v>3.5</v>
      </c>
      <c r="W20" s="55">
        <v>17</v>
      </c>
      <c r="X20" s="55" t="s">
        <v>582</v>
      </c>
      <c r="Y20" s="55">
        <v>1.5</v>
      </c>
      <c r="Z20" s="55">
        <v>1.5</v>
      </c>
      <c r="AA20" s="55">
        <v>20</v>
      </c>
      <c r="AB20" s="55">
        <v>0.83</v>
      </c>
      <c r="AC20" s="55">
        <v>0.42</v>
      </c>
      <c r="AD20" s="55">
        <v>0.16</v>
      </c>
      <c r="AE20" s="55" t="s">
        <v>239</v>
      </c>
      <c r="AF20" s="55" t="s">
        <v>434</v>
      </c>
      <c r="AG20" s="357">
        <v>0.02</v>
      </c>
      <c r="AH20" s="358">
        <v>2</v>
      </c>
      <c r="AI20" s="55">
        <v>1.7000000000000001E-2</v>
      </c>
      <c r="AJ20" s="55">
        <v>4.3999999999999997E-2</v>
      </c>
      <c r="AK20" s="55" t="s">
        <v>657</v>
      </c>
      <c r="AL20" s="53" t="s">
        <v>285</v>
      </c>
      <c r="AM20" s="53" t="s">
        <v>251</v>
      </c>
      <c r="AN20" s="53" t="s">
        <v>431</v>
      </c>
      <c r="AO20" s="53" t="s">
        <v>462</v>
      </c>
      <c r="AP20" s="55">
        <v>3.7</v>
      </c>
      <c r="AQ20" s="52"/>
      <c r="AR20" s="54" t="s">
        <v>658</v>
      </c>
      <c r="AS20" s="56">
        <v>0.46</v>
      </c>
      <c r="AT20" s="56">
        <v>0.34</v>
      </c>
      <c r="AU20" s="56">
        <v>0.23</v>
      </c>
      <c r="AV20" s="56">
        <v>0.49</v>
      </c>
      <c r="AW20" s="55">
        <v>0.48</v>
      </c>
      <c r="AX20" s="53">
        <v>0.62</v>
      </c>
      <c r="AY20" s="53" t="s">
        <v>285</v>
      </c>
      <c r="AZ20" s="53">
        <v>1.5</v>
      </c>
      <c r="BA20" s="53">
        <v>0.61</v>
      </c>
      <c r="BB20" s="252" t="s">
        <v>232</v>
      </c>
      <c r="BC20" s="619">
        <f t="shared" si="3"/>
        <v>1.0133333333333334</v>
      </c>
      <c r="BD20" s="610">
        <f t="shared" si="4"/>
        <v>1.0000000000000002</v>
      </c>
      <c r="BF20" s="610">
        <f t="shared" si="5"/>
        <v>1.0985915492957746E-4</v>
      </c>
      <c r="BG20" s="610">
        <f t="shared" si="6"/>
        <v>3.8709677419354838E-4</v>
      </c>
      <c r="BH20" s="610">
        <f t="shared" si="7"/>
        <v>0.16874999999999998</v>
      </c>
      <c r="BI20" s="610">
        <f t="shared" si="8"/>
        <v>2.6086956521739128E-3</v>
      </c>
      <c r="BJ20" s="610">
        <f t="shared" si="9"/>
        <v>0.17777777777777778</v>
      </c>
      <c r="BK20" s="610">
        <f t="shared" si="10"/>
        <v>1.717948717948718E-3</v>
      </c>
      <c r="BL20" s="610" t="e">
        <f t="shared" si="11"/>
        <v>#VALUE!</v>
      </c>
      <c r="BM20" s="610">
        <f t="shared" si="12"/>
        <v>1.3500000000000001E-3</v>
      </c>
      <c r="BN20" s="563">
        <f t="shared" si="13"/>
        <v>169.24695592912312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11.137499999999999</v>
      </c>
      <c r="BS20" s="564">
        <f t="shared" si="17"/>
        <v>3.0960000000000001E-2</v>
      </c>
      <c r="BT20" s="564">
        <f t="shared" si="18"/>
        <v>0.15</v>
      </c>
      <c r="BU20" s="564">
        <f t="shared" si="19"/>
        <v>2.4000000000000004</v>
      </c>
      <c r="BV20" s="564">
        <f t="shared" si="20"/>
        <v>0.61</v>
      </c>
      <c r="BW20" s="564" t="e">
        <f t="shared" si="21"/>
        <v>#VALUE!</v>
      </c>
      <c r="BX20" s="564" t="e">
        <f t="shared" si="0"/>
        <v>#VALUE!</v>
      </c>
      <c r="BY20" s="564">
        <f t="shared" si="22"/>
        <v>2.3459999999999998E-2</v>
      </c>
      <c r="BZ20" s="564" t="e">
        <f t="shared" si="23"/>
        <v>#VALUE!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0.7109004739336493</v>
      </c>
      <c r="CE20" s="610" t="e">
        <f t="shared" si="27"/>
        <v>#VALUE!</v>
      </c>
      <c r="CF20" s="610">
        <f t="shared" si="34"/>
        <v>0</v>
      </c>
      <c r="CG20" s="610" t="e">
        <f t="shared" si="35"/>
        <v>#VALUE!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27.528571428571428</v>
      </c>
      <c r="E21" s="541">
        <f t="shared" ref="E21:BB21" si="36">AVERAGE(E12:E18)</f>
        <v>1.67E-2</v>
      </c>
      <c r="F21" s="541">
        <f t="shared" si="36"/>
        <v>0.17842857142857141</v>
      </c>
      <c r="G21" s="540">
        <f t="shared" si="36"/>
        <v>9.4857142857142858</v>
      </c>
      <c r="H21" s="541">
        <f t="shared" si="36"/>
        <v>0.13599999999999998</v>
      </c>
      <c r="I21" s="540">
        <f t="shared" si="36"/>
        <v>3.7142857142857144</v>
      </c>
      <c r="J21" s="541">
        <f t="shared" si="36"/>
        <v>0.11085714285714286</v>
      </c>
      <c r="K21" s="541">
        <f t="shared" si="36"/>
        <v>1.2457142857142856E-2</v>
      </c>
      <c r="L21" s="541">
        <f t="shared" si="36"/>
        <v>5.9142857142857143E-2</v>
      </c>
      <c r="M21" s="540">
        <f t="shared" si="36"/>
        <v>77.285714285714292</v>
      </c>
      <c r="N21" s="540">
        <f t="shared" si="36"/>
        <v>18</v>
      </c>
      <c r="O21" s="546" t="e">
        <f t="shared" si="36"/>
        <v>#DIV/0!</v>
      </c>
      <c r="P21" s="540">
        <f t="shared" si="36"/>
        <v>70.071428571428569</v>
      </c>
      <c r="Q21" s="540">
        <f t="shared" si="36"/>
        <v>21.428571428571427</v>
      </c>
      <c r="R21" s="540">
        <f t="shared" si="36"/>
        <v>7</v>
      </c>
      <c r="S21" s="540">
        <f t="shared" si="36"/>
        <v>2.9785714285714282</v>
      </c>
      <c r="T21" s="540">
        <f t="shared" si="36"/>
        <v>8.9285714285714288</v>
      </c>
      <c r="U21" s="540">
        <f t="shared" si="36"/>
        <v>0.51928571428571435</v>
      </c>
      <c r="V21" s="540">
        <f t="shared" si="36"/>
        <v>3.5314285714285716</v>
      </c>
      <c r="W21" s="540">
        <f t="shared" si="36"/>
        <v>23.614285714285717</v>
      </c>
      <c r="X21" s="540">
        <f t="shared" si="36"/>
        <v>4.5999999999999999E-2</v>
      </c>
      <c r="Y21" s="540">
        <f t="shared" si="36"/>
        <v>2.6585714285714284</v>
      </c>
      <c r="Z21" s="540">
        <f t="shared" si="36"/>
        <v>2.75</v>
      </c>
      <c r="AA21" s="540">
        <f t="shared" si="36"/>
        <v>23.228571428571428</v>
      </c>
      <c r="AB21" s="540">
        <f t="shared" si="36"/>
        <v>1.0985714285714285</v>
      </c>
      <c r="AC21" s="541">
        <f t="shared" si="36"/>
        <v>0.74214285714285722</v>
      </c>
      <c r="AD21" s="541">
        <f t="shared" si="36"/>
        <v>0.21028571428571427</v>
      </c>
      <c r="AE21" s="541">
        <f t="shared" si="36"/>
        <v>1.75</v>
      </c>
      <c r="AF21" s="541">
        <f t="shared" si="36"/>
        <v>0.69000000000000006</v>
      </c>
      <c r="AG21" s="541">
        <f t="shared" si="36"/>
        <v>3.2185714285714283E-2</v>
      </c>
      <c r="AH21" s="541">
        <f t="shared" si="36"/>
        <v>3.4200000000000004</v>
      </c>
      <c r="AI21" s="541">
        <f t="shared" si="36"/>
        <v>5.3085714285714292E-2</v>
      </c>
      <c r="AJ21" s="541">
        <f t="shared" si="36"/>
        <v>8.2714285714285726E-2</v>
      </c>
      <c r="AK21" s="541">
        <f t="shared" si="36"/>
        <v>3.2857142857142855E-3</v>
      </c>
      <c r="AL21" s="541">
        <f t="shared" si="36"/>
        <v>8.0000000000000002E-3</v>
      </c>
      <c r="AM21" s="541">
        <f t="shared" si="36"/>
        <v>0.3392857142857143</v>
      </c>
      <c r="AN21" s="541">
        <f t="shared" si="36"/>
        <v>1.95E-2</v>
      </c>
      <c r="AO21" s="541">
        <f t="shared" si="36"/>
        <v>2.8500000000000005E-3</v>
      </c>
      <c r="AP21" s="541">
        <f t="shared" si="36"/>
        <v>4.927142857142857</v>
      </c>
      <c r="AQ21" s="541" t="e">
        <f t="shared" si="36"/>
        <v>#DIV/0!</v>
      </c>
      <c r="AR21" s="540">
        <f t="shared" si="36"/>
        <v>2.75E-2</v>
      </c>
      <c r="AS21" s="540">
        <f t="shared" si="36"/>
        <v>1.1828571428571428</v>
      </c>
      <c r="AT21" s="540">
        <f t="shared" si="36"/>
        <v>0.76714285714285713</v>
      </c>
      <c r="AU21" s="540">
        <f t="shared" si="36"/>
        <v>0.53714285714285714</v>
      </c>
      <c r="AV21" s="540">
        <f t="shared" si="36"/>
        <v>1.0242857142857142</v>
      </c>
      <c r="AW21" s="540">
        <f t="shared" si="36"/>
        <v>1.0771428571428572</v>
      </c>
      <c r="AX21" s="540">
        <f t="shared" si="36"/>
        <v>1.2557142857142856</v>
      </c>
      <c r="AY21" s="540">
        <f t="shared" si="36"/>
        <v>2.0571428571428574E-2</v>
      </c>
      <c r="AZ21" s="540">
        <f t="shared" si="36"/>
        <v>3.5142857142857147</v>
      </c>
      <c r="BA21" s="540">
        <f t="shared" si="36"/>
        <v>1.3114285714285714</v>
      </c>
      <c r="BB21" s="540" t="e">
        <f t="shared" si="36"/>
        <v>#DIV/0!</v>
      </c>
      <c r="CD21" s="691">
        <f>AVERAGE(CD12:CD18)</f>
        <v>0.73502524254888513</v>
      </c>
      <c r="CE21" s="691" t="e">
        <f>AVERAGE(CE12:CE18)</f>
        <v>#VALUE!</v>
      </c>
      <c r="CF21" s="691">
        <f>AVERAGE(CF12:CF18)</f>
        <v>5.4285714285714305E-2</v>
      </c>
      <c r="CG21" s="691">
        <f>AVERAGE(CG12:CG18)</f>
        <v>1.2748571428571427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19.807142857142857</v>
      </c>
      <c r="E22" s="545">
        <f t="shared" ref="E22:BB22" si="37">AVERAGE(E7:E20)</f>
        <v>2.8476923076923084E-2</v>
      </c>
      <c r="F22" s="545">
        <f t="shared" si="37"/>
        <v>0.16157142857142856</v>
      </c>
      <c r="G22" s="544">
        <f t="shared" si="37"/>
        <v>6.855714285714285</v>
      </c>
      <c r="H22" s="545">
        <f t="shared" si="37"/>
        <v>0.14407142857142857</v>
      </c>
      <c r="I22" s="544">
        <f t="shared" si="37"/>
        <v>2.620714285714286</v>
      </c>
      <c r="J22" s="545">
        <f t="shared" si="37"/>
        <v>9.5692307692307674E-2</v>
      </c>
      <c r="K22" s="545">
        <f t="shared" si="37"/>
        <v>1.9133333333333339E-2</v>
      </c>
      <c r="L22" s="545">
        <f t="shared" si="37"/>
        <v>5.2090909090909097E-2</v>
      </c>
      <c r="M22" s="544">
        <f t="shared" si="37"/>
        <v>90.642857142857139</v>
      </c>
      <c r="N22" s="544">
        <f t="shared" si="37"/>
        <v>32.727272727272727</v>
      </c>
      <c r="O22" s="547" t="e">
        <f t="shared" si="37"/>
        <v>#DIV/0!</v>
      </c>
      <c r="P22" s="544">
        <f t="shared" si="37"/>
        <v>53.178571428571431</v>
      </c>
      <c r="Q22" s="544">
        <f t="shared" si="37"/>
        <v>21.428571428571427</v>
      </c>
      <c r="R22" s="544">
        <f t="shared" si="37"/>
        <v>7</v>
      </c>
      <c r="S22" s="544">
        <f t="shared" si="37"/>
        <v>3.1062499999999997</v>
      </c>
      <c r="T22" s="544">
        <f t="shared" si="37"/>
        <v>6.8857142857142852</v>
      </c>
      <c r="U22" s="544">
        <f t="shared" si="37"/>
        <v>0.52812500000000007</v>
      </c>
      <c r="V22" s="544">
        <f t="shared" si="37"/>
        <v>3.2957142857142854</v>
      </c>
      <c r="W22" s="544">
        <f t="shared" si="37"/>
        <v>19.014285714285712</v>
      </c>
      <c r="X22" s="544">
        <f t="shared" si="37"/>
        <v>5.1999999999999998E-2</v>
      </c>
      <c r="Y22" s="544">
        <f t="shared" si="37"/>
        <v>2.0721428571428571</v>
      </c>
      <c r="Z22" s="544">
        <f t="shared" si="37"/>
        <v>2.4950000000000001</v>
      </c>
      <c r="AA22" s="544">
        <f t="shared" si="37"/>
        <v>18.821428571428573</v>
      </c>
      <c r="AB22" s="544">
        <f t="shared" si="37"/>
        <v>0.94299999999999995</v>
      </c>
      <c r="AC22" s="545">
        <f t="shared" si="37"/>
        <v>0.63650000000000007</v>
      </c>
      <c r="AD22" s="545">
        <f t="shared" si="37"/>
        <v>0.14835714285714285</v>
      </c>
      <c r="AE22" s="545">
        <f t="shared" si="37"/>
        <v>1.75</v>
      </c>
      <c r="AF22" s="545">
        <f t="shared" si="37"/>
        <v>0.67444444444444451</v>
      </c>
      <c r="AG22" s="545">
        <f t="shared" si="37"/>
        <v>2.4483333333333333E-2</v>
      </c>
      <c r="AH22" s="545">
        <f t="shared" si="37"/>
        <v>3.2907142857142864</v>
      </c>
      <c r="AI22" s="545">
        <f t="shared" si="37"/>
        <v>3.5764285714285714E-2</v>
      </c>
      <c r="AJ22" s="545">
        <f t="shared" si="37"/>
        <v>5.7142857142857148E-2</v>
      </c>
      <c r="AK22" s="545">
        <f t="shared" si="37"/>
        <v>3.3100000000000004E-3</v>
      </c>
      <c r="AL22" s="545">
        <f t="shared" si="37"/>
        <v>4.9888888888888899E-2</v>
      </c>
      <c r="AM22" s="545">
        <f t="shared" si="37"/>
        <v>0.32611111111111107</v>
      </c>
      <c r="AN22" s="545">
        <f t="shared" si="37"/>
        <v>2.2687499999999999E-2</v>
      </c>
      <c r="AO22" s="545">
        <f t="shared" si="37"/>
        <v>1.5264999999999996E-2</v>
      </c>
      <c r="AP22" s="545">
        <f t="shared" si="37"/>
        <v>3.5135714285714288</v>
      </c>
      <c r="AQ22" s="545" t="e">
        <f t="shared" si="37"/>
        <v>#DIV/0!</v>
      </c>
      <c r="AR22" s="544">
        <f t="shared" si="37"/>
        <v>2.75E-2</v>
      </c>
      <c r="AS22" s="544">
        <f t="shared" si="37"/>
        <v>0.86461538461538467</v>
      </c>
      <c r="AT22" s="544">
        <f t="shared" si="37"/>
        <v>0.63428571428571423</v>
      </c>
      <c r="AU22" s="544">
        <f t="shared" si="37"/>
        <v>0.43228571428571433</v>
      </c>
      <c r="AV22" s="544">
        <f t="shared" si="37"/>
        <v>0.73385714285714287</v>
      </c>
      <c r="AW22" s="544">
        <f t="shared" si="37"/>
        <v>0.76992857142857141</v>
      </c>
      <c r="AX22" s="544">
        <f t="shared" si="37"/>
        <v>0.86214285714285721</v>
      </c>
      <c r="AY22" s="544">
        <f t="shared" si="37"/>
        <v>2.1000000000000001E-2</v>
      </c>
      <c r="AZ22" s="544">
        <f t="shared" si="37"/>
        <v>2.6064285714285718</v>
      </c>
      <c r="BA22" s="544">
        <f t="shared" si="37"/>
        <v>0.90142857142857136</v>
      </c>
      <c r="BB22" s="544" t="e">
        <f t="shared" si="37"/>
        <v>#DIV/0!</v>
      </c>
      <c r="CD22" s="691">
        <f>AVERAGE(CD7:CD20)</f>
        <v>0.74702305724788409</v>
      </c>
      <c r="CE22" s="691" t="e">
        <f>AVERAGE(CE7:CE20)</f>
        <v>#VALUE!</v>
      </c>
      <c r="CF22" s="691">
        <f>AVERAGE(CF7:CF20)</f>
        <v>4.2500000000000003E-2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>
        <v>0.05</v>
      </c>
      <c r="E23" s="30">
        <v>2.3999999999999998E-3</v>
      </c>
      <c r="F23" s="29">
        <v>1.4E-2</v>
      </c>
      <c r="G23" s="29">
        <v>3.2000000000000002E-3</v>
      </c>
      <c r="H23" s="30">
        <v>3.5999999999999999E-3</v>
      </c>
      <c r="I23" s="29">
        <v>2.0999999999999999E-3</v>
      </c>
      <c r="J23" s="29">
        <v>8.6E-3</v>
      </c>
      <c r="K23" s="29">
        <v>9.4000000000000004E-3</v>
      </c>
      <c r="L23" s="26">
        <v>9.4999999999999998E-3</v>
      </c>
      <c r="M23" s="30">
        <v>11</v>
      </c>
      <c r="N23" s="29">
        <v>17</v>
      </c>
      <c r="O23" s="205" t="s">
        <v>232</v>
      </c>
      <c r="P23" s="29">
        <v>11</v>
      </c>
      <c r="Q23" s="29">
        <v>31</v>
      </c>
      <c r="R23" s="29">
        <v>14</v>
      </c>
      <c r="S23" s="29">
        <v>2.9</v>
      </c>
      <c r="T23" s="29">
        <v>2</v>
      </c>
      <c r="U23" s="29">
        <v>0.45</v>
      </c>
      <c r="V23" s="29">
        <v>0.05</v>
      </c>
      <c r="W23" s="29">
        <v>0.79</v>
      </c>
      <c r="X23" s="29">
        <v>7.3999999999999996E-2</v>
      </c>
      <c r="Y23" s="29">
        <v>8.8999999999999996E-2</v>
      </c>
      <c r="Z23" s="29">
        <v>1.3</v>
      </c>
      <c r="AA23" s="29">
        <v>1.3</v>
      </c>
      <c r="AB23" s="29">
        <v>0.22</v>
      </c>
      <c r="AC23" s="29">
        <v>0.23</v>
      </c>
      <c r="AD23" s="29">
        <v>7.0000000000000001E-3</v>
      </c>
      <c r="AE23" s="29">
        <v>3.5</v>
      </c>
      <c r="AF23" s="29">
        <v>0.4</v>
      </c>
      <c r="AG23" s="29">
        <v>1.6999999999999999E-3</v>
      </c>
      <c r="AH23" s="29">
        <v>0.36</v>
      </c>
      <c r="AI23" s="29">
        <v>3.3999999999999998E-3</v>
      </c>
      <c r="AJ23" s="29">
        <v>9.2999999999999992E-3</v>
      </c>
      <c r="AK23" s="29">
        <v>1.6999999999999999E-3</v>
      </c>
      <c r="AL23" s="27">
        <v>1.6E-2</v>
      </c>
      <c r="AM23" s="58">
        <v>0.17</v>
      </c>
      <c r="AN23" s="58">
        <v>3.9E-2</v>
      </c>
      <c r="AO23" s="58">
        <v>5.7000000000000002E-3</v>
      </c>
      <c r="AP23" s="59">
        <v>9.4E-2</v>
      </c>
      <c r="AQ23" s="60"/>
      <c r="AR23" s="28">
        <v>5.5E-2</v>
      </c>
      <c r="AS23" s="30">
        <v>0.12</v>
      </c>
      <c r="AT23" s="30">
        <v>0.13</v>
      </c>
      <c r="AU23" s="306">
        <v>0.06</v>
      </c>
      <c r="AV23" s="359">
        <v>2.7E-4</v>
      </c>
      <c r="AW23" s="29">
        <v>1.7999999999999999E-2</v>
      </c>
      <c r="AX23" s="360">
        <v>0.05</v>
      </c>
      <c r="AY23" s="27">
        <v>1.6E-2</v>
      </c>
      <c r="AZ23" s="200" t="s">
        <v>283</v>
      </c>
      <c r="BA23" s="200" t="s">
        <v>283</v>
      </c>
      <c r="BB23" s="206" t="s">
        <v>232</v>
      </c>
    </row>
    <row r="24" spans="2:85" ht="20.149999999999999" customHeight="1" x14ac:dyDescent="0.2">
      <c r="B24" s="692" t="s">
        <v>95</v>
      </c>
      <c r="C24" s="693"/>
      <c r="D24" s="61">
        <v>0.13</v>
      </c>
      <c r="E24" s="56">
        <v>7.9000000000000008E-3</v>
      </c>
      <c r="F24" s="55">
        <v>4.4999999999999998E-2</v>
      </c>
      <c r="G24" s="55">
        <v>1.0999999999999999E-2</v>
      </c>
      <c r="H24" s="56">
        <v>1.2E-2</v>
      </c>
      <c r="I24" s="55">
        <v>6.8999999999999999E-3</v>
      </c>
      <c r="J24" s="55">
        <v>2.9000000000000001E-2</v>
      </c>
      <c r="K24" s="55">
        <v>3.1E-2</v>
      </c>
      <c r="L24" s="52">
        <v>3.2000000000000001E-2</v>
      </c>
      <c r="M24" s="56">
        <v>35</v>
      </c>
      <c r="N24" s="55">
        <v>58</v>
      </c>
      <c r="O24" s="244" t="s">
        <v>232</v>
      </c>
      <c r="P24" s="55">
        <v>35</v>
      </c>
      <c r="Q24" s="55">
        <v>100</v>
      </c>
      <c r="R24" s="55">
        <v>48</v>
      </c>
      <c r="S24" s="55">
        <v>9.6999999999999993</v>
      </c>
      <c r="T24" s="55">
        <v>6.6</v>
      </c>
      <c r="U24" s="55">
        <v>1.5</v>
      </c>
      <c r="V24" s="55">
        <v>0.17</v>
      </c>
      <c r="W24" s="55">
        <v>2.6</v>
      </c>
      <c r="X24" s="55">
        <v>0.25</v>
      </c>
      <c r="Y24" s="55">
        <v>0.3</v>
      </c>
      <c r="Z24" s="55">
        <v>4.2</v>
      </c>
      <c r="AA24" s="55">
        <v>4.4000000000000004</v>
      </c>
      <c r="AB24" s="55">
        <v>0.73</v>
      </c>
      <c r="AC24" s="55">
        <v>0.75</v>
      </c>
      <c r="AD24" s="55">
        <v>2.3E-2</v>
      </c>
      <c r="AE24" s="55">
        <v>12</v>
      </c>
      <c r="AF24" s="55">
        <v>1.3</v>
      </c>
      <c r="AG24" s="55">
        <v>5.5999999999999999E-3</v>
      </c>
      <c r="AH24" s="55">
        <v>1.2</v>
      </c>
      <c r="AI24" s="55">
        <v>1.0999999999999999E-2</v>
      </c>
      <c r="AJ24" s="55">
        <v>3.1E-2</v>
      </c>
      <c r="AK24" s="55">
        <v>5.5999999999999999E-3</v>
      </c>
      <c r="AL24" s="53">
        <v>5.1999999999999998E-2</v>
      </c>
      <c r="AM24" s="53">
        <v>0.56000000000000005</v>
      </c>
      <c r="AN24" s="53">
        <v>0.13</v>
      </c>
      <c r="AO24" s="53">
        <v>1.9E-2</v>
      </c>
      <c r="AP24" s="55">
        <v>0.31</v>
      </c>
      <c r="AQ24" s="52"/>
      <c r="AR24" s="54">
        <v>0.18</v>
      </c>
      <c r="AS24" s="56">
        <v>0.41</v>
      </c>
      <c r="AT24" s="56">
        <v>0.44</v>
      </c>
      <c r="AU24" s="56">
        <v>0.19</v>
      </c>
      <c r="AV24" s="361">
        <v>8.9999999999999998E-4</v>
      </c>
      <c r="AW24" s="357">
        <v>0.06</v>
      </c>
      <c r="AX24" s="53">
        <v>0.17</v>
      </c>
      <c r="AY24" s="53">
        <v>5.5E-2</v>
      </c>
      <c r="AZ24" s="239" t="s">
        <v>283</v>
      </c>
      <c r="BA24" s="239" t="s">
        <v>283</v>
      </c>
      <c r="BB24" s="252" t="s">
        <v>232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3" priority="7" stopIfTrue="1" operator="notBetween">
      <formula>0.8</formula>
      <formula>1.2</formula>
    </cfRule>
  </conditionalFormatting>
  <conditionalFormatting sqref="BC7:BD20">
    <cfRule type="cellIs" dxfId="2" priority="6" stopIfTrue="1" operator="notBetween">
      <formula>0.9</formula>
      <formula>1.1</formula>
    </cfRule>
  </conditionalFormatting>
  <conditionalFormatting sqref="BP7:BP20">
    <cfRule type="cellIs" dxfId="1" priority="3" stopIfTrue="1" operator="notBetween">
      <formula>0.8</formula>
      <formula>1.2</formula>
    </cfRule>
  </conditionalFormatting>
  <conditionalFormatting sqref="CF7:CF20">
    <cfRule type="cellIs" dxfId="0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44" orientation="landscape" r:id="rId1"/>
  <colBreaks count="1" manualBreakCount="1">
    <brk id="27" max="2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topLeftCell="BC1" zoomScaleNormal="100" zoomScaleSheetLayoutView="90" workbookViewId="0">
      <selection activeCell="BQ11" sqref="BQ11"/>
    </sheetView>
  </sheetViews>
  <sheetFormatPr defaultColWidth="9" defaultRowHeight="14" x14ac:dyDescent="0.3"/>
  <cols>
    <col min="1" max="1" width="7.6328125" style="65" customWidth="1"/>
    <col min="2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102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587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土浦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588</v>
      </c>
      <c r="C4" s="85"/>
      <c r="D4" s="75"/>
      <c r="E4" s="75" t="s">
        <v>107</v>
      </c>
      <c r="F4" s="86" t="s">
        <v>589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茨城県霞ケ浦環境科学センター</v>
      </c>
      <c r="AP4" s="81"/>
      <c r="AQ4" s="75"/>
      <c r="AR4" s="75" t="str">
        <f>E4</f>
        <v>担当者：</v>
      </c>
      <c r="AS4" s="75" t="str">
        <f>F4</f>
        <v>北見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S6" s="89" t="s">
        <v>112</v>
      </c>
      <c r="AW6" s="71"/>
      <c r="AY6" s="537" t="s">
        <v>590</v>
      </c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43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142</v>
      </c>
      <c r="J9" s="733"/>
      <c r="K9" s="732" t="s">
        <v>143</v>
      </c>
      <c r="L9" s="733"/>
      <c r="M9" s="732" t="s">
        <v>144</v>
      </c>
      <c r="N9" s="733"/>
      <c r="O9" s="732" t="s">
        <v>145</v>
      </c>
      <c r="P9" s="733"/>
      <c r="Q9" s="732" t="s">
        <v>146</v>
      </c>
      <c r="R9" s="733"/>
      <c r="S9" s="732" t="s">
        <v>147</v>
      </c>
      <c r="T9" s="733"/>
      <c r="U9" s="732" t="s">
        <v>264</v>
      </c>
      <c r="V9" s="733"/>
      <c r="W9" s="732" t="s">
        <v>265</v>
      </c>
      <c r="X9" s="733"/>
      <c r="Y9" s="732" t="s">
        <v>142</v>
      </c>
      <c r="Z9" s="733"/>
      <c r="AA9" s="732" t="s">
        <v>143</v>
      </c>
      <c r="AB9" s="733"/>
      <c r="AC9" s="732" t="s">
        <v>144</v>
      </c>
      <c r="AD9" s="733"/>
      <c r="AE9" s="732" t="s">
        <v>145</v>
      </c>
      <c r="AF9" s="733"/>
      <c r="AG9" s="732" t="s">
        <v>142</v>
      </c>
      <c r="AH9" s="733"/>
      <c r="AI9" s="732" t="s">
        <v>144</v>
      </c>
      <c r="AJ9" s="733"/>
      <c r="AK9" s="732" t="s">
        <v>145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266</v>
      </c>
      <c r="BF9" s="724" t="s">
        <v>142</v>
      </c>
      <c r="BG9" s="718" t="s">
        <v>143</v>
      </c>
      <c r="BH9" s="718" t="s">
        <v>144</v>
      </c>
      <c r="BI9" s="718" t="s">
        <v>145</v>
      </c>
      <c r="BJ9" s="718" t="s">
        <v>146</v>
      </c>
      <c r="BK9" s="718" t="s">
        <v>147</v>
      </c>
      <c r="BL9" s="718" t="s">
        <v>148</v>
      </c>
      <c r="BM9" s="720" t="s">
        <v>266</v>
      </c>
      <c r="BN9" s="103" t="s">
        <v>267</v>
      </c>
      <c r="BO9" s="103" t="s">
        <v>268</v>
      </c>
      <c r="BP9" s="103" t="s">
        <v>269</v>
      </c>
      <c r="BQ9" s="103" t="s">
        <v>270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271</v>
      </c>
      <c r="G10" s="108" t="s">
        <v>272</v>
      </c>
      <c r="H10" s="108" t="s">
        <v>272</v>
      </c>
      <c r="I10" s="109" t="s">
        <v>273</v>
      </c>
      <c r="J10" s="109" t="s">
        <v>274</v>
      </c>
      <c r="K10" s="109" t="s">
        <v>273</v>
      </c>
      <c r="L10" s="109" t="s">
        <v>274</v>
      </c>
      <c r="M10" s="109" t="s">
        <v>273</v>
      </c>
      <c r="N10" s="109" t="s">
        <v>274</v>
      </c>
      <c r="O10" s="109" t="s">
        <v>273</v>
      </c>
      <c r="P10" s="109" t="s">
        <v>274</v>
      </c>
      <c r="Q10" s="109" t="s">
        <v>273</v>
      </c>
      <c r="R10" s="109" t="s">
        <v>274</v>
      </c>
      <c r="S10" s="109" t="s">
        <v>273</v>
      </c>
      <c r="T10" s="109" t="s">
        <v>274</v>
      </c>
      <c r="U10" s="109" t="s">
        <v>273</v>
      </c>
      <c r="V10" s="109" t="s">
        <v>274</v>
      </c>
      <c r="W10" s="109" t="s">
        <v>273</v>
      </c>
      <c r="X10" s="109" t="s">
        <v>274</v>
      </c>
      <c r="Y10" s="109" t="s">
        <v>273</v>
      </c>
      <c r="Z10" s="109" t="s">
        <v>274</v>
      </c>
      <c r="AA10" s="109" t="s">
        <v>273</v>
      </c>
      <c r="AB10" s="109" t="s">
        <v>274</v>
      </c>
      <c r="AC10" s="109" t="s">
        <v>273</v>
      </c>
      <c r="AD10" s="109" t="s">
        <v>274</v>
      </c>
      <c r="AE10" s="109" t="s">
        <v>273</v>
      </c>
      <c r="AF10" s="109" t="s">
        <v>274</v>
      </c>
      <c r="AG10" s="109" t="s">
        <v>273</v>
      </c>
      <c r="AH10" s="109" t="s">
        <v>274</v>
      </c>
      <c r="AI10" s="109" t="s">
        <v>273</v>
      </c>
      <c r="AJ10" s="109" t="s">
        <v>274</v>
      </c>
      <c r="AK10" s="109" t="s">
        <v>273</v>
      </c>
      <c r="AL10" s="110" t="s">
        <v>274</v>
      </c>
      <c r="AM10" s="111"/>
      <c r="AN10" s="105"/>
      <c r="AO10" s="112" t="s">
        <v>275</v>
      </c>
      <c r="AP10" s="113" t="s">
        <v>276</v>
      </c>
      <c r="AQ10" s="112" t="s">
        <v>275</v>
      </c>
      <c r="AR10" s="113" t="s">
        <v>276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25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>
        <v>1</v>
      </c>
      <c r="B11" s="523">
        <v>42212</v>
      </c>
      <c r="C11" s="119">
        <v>0.41666666666666669</v>
      </c>
      <c r="D11" s="523">
        <v>42213</v>
      </c>
      <c r="E11" s="119">
        <v>0.41319444444444442</v>
      </c>
      <c r="F11" s="120">
        <v>28.3</v>
      </c>
      <c r="G11" s="121">
        <v>2.1524000000000001</v>
      </c>
      <c r="H11" s="122">
        <f t="shared" ref="H11:H17" si="0">G11*(20+273)/(F11+273)</f>
        <v>2.0931072021241284</v>
      </c>
      <c r="I11" s="123">
        <v>0.16600000000000001</v>
      </c>
      <c r="J11" s="120">
        <v>2.2333333333333334E-2</v>
      </c>
      <c r="K11" s="120">
        <v>0.13500000000000001</v>
      </c>
      <c r="L11" s="120">
        <v>3.266666666666667E-2</v>
      </c>
      <c r="M11" s="120">
        <v>6.7000000000000004E-2</v>
      </c>
      <c r="N11" s="120">
        <v>2.4000000000000004E-2</v>
      </c>
      <c r="O11" s="120">
        <v>9.6000000000000002E-2</v>
      </c>
      <c r="P11" s="120">
        <v>1.1999999999999999E-2</v>
      </c>
      <c r="Q11" s="120">
        <v>7.1999999999999995E-2</v>
      </c>
      <c r="R11" s="120">
        <v>-3.6666666666666666E-3</v>
      </c>
      <c r="S11" s="120">
        <v>0</v>
      </c>
      <c r="T11" s="120">
        <v>0</v>
      </c>
      <c r="U11" s="120">
        <v>1.9E-2</v>
      </c>
      <c r="V11" s="120">
        <v>5.6666666666666671E-3</v>
      </c>
      <c r="W11" s="120">
        <v>4.3999999999999997E-2</v>
      </c>
      <c r="X11" s="120">
        <v>2.6333333333333334E-2</v>
      </c>
      <c r="Y11" s="120">
        <v>0.153</v>
      </c>
      <c r="Z11" s="120">
        <v>2.2333333333333334E-2</v>
      </c>
      <c r="AA11" s="120">
        <v>0.16900000000000001</v>
      </c>
      <c r="AB11" s="120">
        <v>0.13233333333333333</v>
      </c>
      <c r="AC11" s="120">
        <v>0.246</v>
      </c>
      <c r="AD11" s="120">
        <v>0.21066666666666667</v>
      </c>
      <c r="AE11" s="120">
        <v>2.1000000000000001E-2</v>
      </c>
      <c r="AF11" s="120">
        <v>6.6666666666666671E-3</v>
      </c>
      <c r="AG11" s="120">
        <v>0.28499999999999998</v>
      </c>
      <c r="AH11" s="120">
        <v>3.6333333333333336E-2</v>
      </c>
      <c r="AI11" s="120">
        <v>6.4000000000000001E-2</v>
      </c>
      <c r="AJ11" s="120">
        <v>3.5000000000000003E-2</v>
      </c>
      <c r="AK11" s="120">
        <v>0.50700000000000001</v>
      </c>
      <c r="AL11" s="124">
        <v>8.666666666666668E-3</v>
      </c>
      <c r="AM11" s="125"/>
      <c r="AN11" s="126">
        <f t="shared" ref="AN11:AR38" si="1">A11</f>
        <v>1</v>
      </c>
      <c r="AO11" s="127">
        <f t="shared" si="1"/>
        <v>42212</v>
      </c>
      <c r="AP11" s="128">
        <f t="shared" si="1"/>
        <v>0.41666666666666669</v>
      </c>
      <c r="AQ11" s="127">
        <f t="shared" si="1"/>
        <v>42213</v>
      </c>
      <c r="AR11" s="128">
        <f t="shared" si="1"/>
        <v>0.41319444444444442</v>
      </c>
      <c r="AS11" s="129">
        <f>1000/96.06*(Y11-Z11+AG11-AH11)*20/H11</f>
        <v>37.732618848887235</v>
      </c>
      <c r="AT11" s="130">
        <f>1000/62.01*(AA11-AB11)*20/H11</f>
        <v>5.6499970712906178</v>
      </c>
      <c r="AU11" s="130">
        <f>1000/35.45*(AC11-AD11+AI11-AJ11)*20/H11</f>
        <v>17.340369136917829</v>
      </c>
      <c r="AV11" s="131">
        <f>1000/18.04*(AE11-AF11+AK11-AL11)*20/H11</f>
        <v>271.54203672895807</v>
      </c>
      <c r="AW11" s="132">
        <f>1000/96.06*(I11-J11)*20/H11</f>
        <v>14.290649142241126</v>
      </c>
      <c r="AX11" s="132">
        <f>1000/62.01*(K11-L11)*20/H11</f>
        <v>15.768628189874715</v>
      </c>
      <c r="AY11" s="132">
        <f>1000/35.45*(M11-N11)*20/H11</f>
        <v>11.590194915349224</v>
      </c>
      <c r="AZ11" s="133">
        <f>1000/18.04*(O11-P11)*20/H11</f>
        <v>44.491933196162179</v>
      </c>
      <c r="BA11" s="133">
        <f>1000/22.99*(Q11-R11)*20/H11</f>
        <v>31.448805518089266</v>
      </c>
      <c r="BB11" s="133">
        <f>1000/39.1*(S11-T11)*20/H11</f>
        <v>0</v>
      </c>
      <c r="BC11" s="133">
        <f>1000/24.31*(U11-V11)*20/H11</f>
        <v>5.2407362236375761</v>
      </c>
      <c r="BD11" s="134">
        <f>1000/40*(W11-X11)*20/H11</f>
        <v>4.2202011078883501</v>
      </c>
      <c r="BF11" s="135">
        <f t="shared" ref="BF11:BF38" si="2">(I11-J11)/48.03*1000</f>
        <v>2.9911860642653898</v>
      </c>
      <c r="BG11" s="136">
        <f t="shared" ref="BG11:BG38" si="3">(K11-L11)/62.01*1000</f>
        <v>1.6502714615922163</v>
      </c>
      <c r="BH11" s="136">
        <f t="shared" ref="BH11:BH38" si="4">(M11-N11)/35.45*1000</f>
        <v>1.2129760225669954</v>
      </c>
      <c r="BI11" s="136">
        <f t="shared" ref="BI11:BI38" si="5">(O11-P11)/18.04*1000</f>
        <v>4.6563192904656328</v>
      </c>
      <c r="BJ11" s="136">
        <f t="shared" ref="BJ11:BJ38" si="6">(Q11-R11)/22.99*1000</f>
        <v>3.2912860664056836</v>
      </c>
      <c r="BK11" s="136">
        <f t="shared" ref="BK11:BK38" si="7">(S11-T11)/39.1*1000</f>
        <v>0</v>
      </c>
      <c r="BL11" s="136">
        <f t="shared" ref="BL11:BL38" si="8">(U11-V11)/12.16*1000</f>
        <v>1.0964912280701753</v>
      </c>
      <c r="BM11" s="136">
        <f t="shared" ref="BM11:BM38" si="9">(W11-X11)/20.04*1000</f>
        <v>0.88157019294743832</v>
      </c>
      <c r="BN11" s="136">
        <f t="shared" ref="BN11:BN38" si="10">SUM(BF11:BH11)</f>
        <v>5.854433548424602</v>
      </c>
      <c r="BO11" s="136">
        <f t="shared" ref="BO11:BO38" si="11">SUM(BI11:BM11)</f>
        <v>9.925666777888928</v>
      </c>
      <c r="BP11" s="136">
        <f t="shared" ref="BP11:BP38" si="12">BN11+BO11</f>
        <v>15.78010032631353</v>
      </c>
      <c r="BQ11" s="136">
        <f t="shared" ref="BQ11:BQ38" si="13">(BO11-BN11)/BP11*100</f>
        <v>25.799793063897635</v>
      </c>
      <c r="BR11" s="136">
        <f t="shared" ref="BR11:BR38" si="14">IF(BP11&lt;50,30,IF(BP11&lt;=100,15,8))</f>
        <v>30</v>
      </c>
      <c r="BS11" s="137" t="str">
        <f t="shared" ref="BS11:BS38" si="15">IF(ABS(BQ11)&lt;BR11,"○","×")</f>
        <v>○</v>
      </c>
    </row>
    <row r="12" spans="1:71" s="72" customFormat="1" ht="15" customHeight="1" x14ac:dyDescent="0.3">
      <c r="A12" s="117">
        <v>2</v>
      </c>
      <c r="B12" s="523">
        <v>42213</v>
      </c>
      <c r="C12" s="119">
        <v>0.41666666666666669</v>
      </c>
      <c r="D12" s="523">
        <v>42214</v>
      </c>
      <c r="E12" s="119">
        <v>0.41319444444444442</v>
      </c>
      <c r="F12" s="120">
        <v>26.8</v>
      </c>
      <c r="G12" s="121">
        <v>2.1524000000000001</v>
      </c>
      <c r="H12" s="122">
        <f t="shared" si="0"/>
        <v>2.1035797198132085</v>
      </c>
      <c r="I12" s="123">
        <v>0.11600000000000001</v>
      </c>
      <c r="J12" s="120">
        <v>2.2333333333333334E-2</v>
      </c>
      <c r="K12" s="120">
        <v>5.5E-2</v>
      </c>
      <c r="L12" s="120">
        <v>3.266666666666667E-2</v>
      </c>
      <c r="M12" s="120">
        <v>2.8000000000000001E-2</v>
      </c>
      <c r="N12" s="120">
        <v>2.4000000000000004E-2</v>
      </c>
      <c r="O12" s="120">
        <v>7.1999999999999995E-2</v>
      </c>
      <c r="P12" s="120">
        <v>1.1999999999999999E-2</v>
      </c>
      <c r="Q12" s="120">
        <v>1.7000000000000001E-2</v>
      </c>
      <c r="R12" s="120">
        <v>-3.6666666666666666E-3</v>
      </c>
      <c r="S12" s="120">
        <v>0</v>
      </c>
      <c r="T12" s="120">
        <v>0</v>
      </c>
      <c r="U12" s="120">
        <v>6.0000000000000001E-3</v>
      </c>
      <c r="V12" s="120">
        <v>5.6666666666666671E-3</v>
      </c>
      <c r="W12" s="120">
        <v>1.9E-2</v>
      </c>
      <c r="X12" s="120">
        <v>2.6333333333333334E-2</v>
      </c>
      <c r="Y12" s="120">
        <v>0.27800000000000002</v>
      </c>
      <c r="Z12" s="120">
        <v>2.2333333333333334E-2</v>
      </c>
      <c r="AA12" s="120">
        <v>0.22</v>
      </c>
      <c r="AB12" s="120">
        <v>0.13233333333333333</v>
      </c>
      <c r="AC12" s="120">
        <v>0.249</v>
      </c>
      <c r="AD12" s="120">
        <v>0.21066666666666667</v>
      </c>
      <c r="AE12" s="120">
        <v>2.9000000000000001E-2</v>
      </c>
      <c r="AF12" s="120">
        <v>6.6666666666666671E-3</v>
      </c>
      <c r="AG12" s="120">
        <v>0.34300000000000003</v>
      </c>
      <c r="AH12" s="120">
        <v>3.6333333333333336E-2</v>
      </c>
      <c r="AI12" s="120">
        <v>5.2999999999999999E-2</v>
      </c>
      <c r="AJ12" s="120">
        <v>3.5000000000000003E-2</v>
      </c>
      <c r="AK12" s="120">
        <v>0.46</v>
      </c>
      <c r="AL12" s="124">
        <v>8.666666666666668E-3</v>
      </c>
      <c r="AM12" s="138"/>
      <c r="AN12" s="126">
        <f t="shared" si="1"/>
        <v>2</v>
      </c>
      <c r="AO12" s="127">
        <f t="shared" si="1"/>
        <v>42213</v>
      </c>
      <c r="AP12" s="128">
        <f t="shared" si="1"/>
        <v>0.41666666666666669</v>
      </c>
      <c r="AQ12" s="127">
        <f t="shared" si="1"/>
        <v>42214</v>
      </c>
      <c r="AR12" s="128">
        <f t="shared" si="1"/>
        <v>0.41319444444444442</v>
      </c>
      <c r="AS12" s="129">
        <f t="shared" ref="AS12:AS38" si="16">1000/96.06*(Y12-Z12+AG12-AH12)*20/H12</f>
        <v>55.657316869494686</v>
      </c>
      <c r="AT12" s="132">
        <f t="shared" ref="AT12:AT38" si="17">1000/62.01*(AA12-AB12)*20/H12</f>
        <v>13.441377638683271</v>
      </c>
      <c r="AU12" s="130">
        <f t="shared" ref="AU12:AU17" si="18">1000/35.45*(AC12-AD12+AI12-AJ12)*20/H12</f>
        <v>15.108461103179934</v>
      </c>
      <c r="AV12" s="131">
        <f t="shared" ref="AV12:AV38" si="19">1000/18.04*(AE12-AF12+AK12-AL12)*20/H12</f>
        <v>249.63605479574733</v>
      </c>
      <c r="AW12" s="132">
        <f t="shared" ref="AW12:AW17" si="20">1000/96.06*(I12-J12)*20/H12</f>
        <v>9.2707208300699513</v>
      </c>
      <c r="AX12" s="132">
        <f t="shared" ref="AX12:AX17" si="21">1000/62.01*(K12-L12)*20/H12</f>
        <v>3.424229284379388</v>
      </c>
      <c r="AY12" s="132">
        <f t="shared" ref="AY12:AY17" si="22">1000/35.45*(M12-N12)*20/H12</f>
        <v>1.0727901375039</v>
      </c>
      <c r="AZ12" s="133">
        <f t="shared" ref="AZ12:AZ17" si="23">1000/18.04*(O12-P12)*20/H12</f>
        <v>31.621738116280454</v>
      </c>
      <c r="BA12" s="133">
        <f t="shared" ref="BA12:BA17" si="24">1000/22.99*(Q12-R12)*20/H12</f>
        <v>8.5467791910244451</v>
      </c>
      <c r="BB12" s="133">
        <f t="shared" ref="BB12:BB17" si="25">1000/39.1*(S12-T12)*20/H12</f>
        <v>0</v>
      </c>
      <c r="BC12" s="133">
        <f t="shared" ref="BC12:BC17" si="26">1000/24.31*(U12-V12)*20/H12</f>
        <v>0.13036614004700831</v>
      </c>
      <c r="BD12" s="134">
        <f t="shared" ref="BD12:BD17" si="27">1000/40*(W12-X12)*20/H12</f>
        <v>-1.7430604754985259</v>
      </c>
      <c r="BF12" s="139">
        <f t="shared" si="2"/>
        <v>1.9501700326185025</v>
      </c>
      <c r="BG12" s="140">
        <f t="shared" si="3"/>
        <v>0.3601569639305488</v>
      </c>
      <c r="BH12" s="140">
        <f t="shared" si="4"/>
        <v>0.11283497884344136</v>
      </c>
      <c r="BI12" s="140">
        <f t="shared" si="5"/>
        <v>3.3259423503325944</v>
      </c>
      <c r="BJ12" s="140">
        <f t="shared" si="6"/>
        <v>0.89894156879802822</v>
      </c>
      <c r="BK12" s="140">
        <f t="shared" si="7"/>
        <v>0</v>
      </c>
      <c r="BL12" s="140">
        <f t="shared" si="8"/>
        <v>2.7412280701754364E-2</v>
      </c>
      <c r="BM12" s="140">
        <f t="shared" si="9"/>
        <v>-0.36593479707252169</v>
      </c>
      <c r="BN12" s="140">
        <f t="shared" si="10"/>
        <v>2.4231619753924925</v>
      </c>
      <c r="BO12" s="140">
        <f t="shared" si="11"/>
        <v>3.8863614027598552</v>
      </c>
      <c r="BP12" s="140">
        <f t="shared" si="12"/>
        <v>6.3095233781523472</v>
      </c>
      <c r="BQ12" s="140">
        <f t="shared" si="13"/>
        <v>23.190332132438179</v>
      </c>
      <c r="BR12" s="140">
        <f t="shared" si="14"/>
        <v>30</v>
      </c>
      <c r="BS12" s="141" t="str">
        <f t="shared" si="15"/>
        <v>○</v>
      </c>
    </row>
    <row r="13" spans="1:71" s="72" customFormat="1" ht="15" customHeight="1" x14ac:dyDescent="0.3">
      <c r="A13" s="117">
        <v>3</v>
      </c>
      <c r="B13" s="523">
        <v>42214</v>
      </c>
      <c r="C13" s="119">
        <v>0.41666666666666669</v>
      </c>
      <c r="D13" s="523">
        <v>42215</v>
      </c>
      <c r="E13" s="119">
        <v>0.41319444444444442</v>
      </c>
      <c r="F13" s="120">
        <v>27.1</v>
      </c>
      <c r="G13" s="121">
        <v>2.1522999999999999</v>
      </c>
      <c r="H13" s="122">
        <f t="shared" si="0"/>
        <v>2.1013792069310226</v>
      </c>
      <c r="I13" s="123">
        <v>0.31</v>
      </c>
      <c r="J13" s="120">
        <v>2.2333333333333334E-2</v>
      </c>
      <c r="K13" s="120">
        <v>9.9000000000000005E-2</v>
      </c>
      <c r="L13" s="120">
        <v>3.266666666666667E-2</v>
      </c>
      <c r="M13" s="120">
        <v>2.8000000000000001E-2</v>
      </c>
      <c r="N13" s="120">
        <v>2.4000000000000004E-2</v>
      </c>
      <c r="O13" s="120">
        <v>0.158</v>
      </c>
      <c r="P13" s="120">
        <v>1.1999999999999999E-2</v>
      </c>
      <c r="Q13" s="120">
        <v>3.3000000000000002E-2</v>
      </c>
      <c r="R13" s="120">
        <v>-3.6666666666666666E-3</v>
      </c>
      <c r="S13" s="120">
        <v>0</v>
      </c>
      <c r="T13" s="120">
        <v>0</v>
      </c>
      <c r="U13" s="120">
        <v>6.0000000000000001E-3</v>
      </c>
      <c r="V13" s="120">
        <v>5.6666666666666671E-3</v>
      </c>
      <c r="W13" s="120">
        <v>1.7000000000000001E-2</v>
      </c>
      <c r="X13" s="120">
        <v>2.6333333333333334E-2</v>
      </c>
      <c r="Y13" s="120">
        <v>0.34399999999999997</v>
      </c>
      <c r="Z13" s="120">
        <v>2.2333333333333334E-2</v>
      </c>
      <c r="AA13" s="120">
        <v>0.27400000000000002</v>
      </c>
      <c r="AB13" s="120">
        <v>0.13233333333333333</v>
      </c>
      <c r="AC13" s="120">
        <v>0.24399999999999999</v>
      </c>
      <c r="AD13" s="120">
        <v>0.21066666666666667</v>
      </c>
      <c r="AE13" s="120">
        <v>7.6999999999999999E-2</v>
      </c>
      <c r="AF13" s="120">
        <v>6.6666666666666671E-3</v>
      </c>
      <c r="AG13" s="120">
        <v>0.127</v>
      </c>
      <c r="AH13" s="120">
        <v>3.6333333333333336E-2</v>
      </c>
      <c r="AI13" s="120">
        <v>5.1999999999999998E-2</v>
      </c>
      <c r="AJ13" s="120">
        <v>3.5000000000000003E-2</v>
      </c>
      <c r="AK13" s="120">
        <v>0.72799999999999998</v>
      </c>
      <c r="AL13" s="124">
        <v>8.666666666666668E-3</v>
      </c>
      <c r="AM13" s="78"/>
      <c r="AN13" s="126">
        <f t="shared" si="1"/>
        <v>3</v>
      </c>
      <c r="AO13" s="127">
        <f t="shared" si="1"/>
        <v>42214</v>
      </c>
      <c r="AP13" s="128">
        <f t="shared" si="1"/>
        <v>0.41666666666666669</v>
      </c>
      <c r="AQ13" s="127">
        <f t="shared" si="1"/>
        <v>42215</v>
      </c>
      <c r="AR13" s="128">
        <f t="shared" si="1"/>
        <v>0.41319444444444442</v>
      </c>
      <c r="AS13" s="129">
        <f t="shared" si="16"/>
        <v>40.853703031476677</v>
      </c>
      <c r="AT13" s="132">
        <f t="shared" si="17"/>
        <v>21.743602951248395</v>
      </c>
      <c r="AU13" s="130">
        <f t="shared" si="18"/>
        <v>13.513412008299593</v>
      </c>
      <c r="AV13" s="131">
        <f t="shared" si="19"/>
        <v>416.61301946359418</v>
      </c>
      <c r="AW13" s="132">
        <f t="shared" si="20"/>
        <v>28.501815453649453</v>
      </c>
      <c r="AX13" s="132">
        <f t="shared" si="21"/>
        <v>10.18112232305513</v>
      </c>
      <c r="AY13" s="132">
        <f t="shared" si="22"/>
        <v>1.0739135370834108</v>
      </c>
      <c r="AZ13" s="133">
        <f t="shared" si="23"/>
        <v>77.026805624759078</v>
      </c>
      <c r="BA13" s="133">
        <f t="shared" si="24"/>
        <v>15.179519493463697</v>
      </c>
      <c r="BB13" s="133">
        <f t="shared" si="25"/>
        <v>0</v>
      </c>
      <c r="BC13" s="133">
        <f t="shared" si="26"/>
        <v>0.13050265627864707</v>
      </c>
      <c r="BD13" s="134">
        <f t="shared" si="27"/>
        <v>-2.2207637018937385</v>
      </c>
      <c r="BF13" s="139">
        <f t="shared" si="2"/>
        <v>5.9893122354084252</v>
      </c>
      <c r="BG13" s="140">
        <f t="shared" si="3"/>
        <v>1.0697199376444659</v>
      </c>
      <c r="BH13" s="140">
        <f t="shared" si="4"/>
        <v>0.11283497884344136</v>
      </c>
      <c r="BI13" s="140">
        <f t="shared" si="5"/>
        <v>8.0931263858093132</v>
      </c>
      <c r="BJ13" s="140">
        <f t="shared" si="6"/>
        <v>1.594896331738437</v>
      </c>
      <c r="BK13" s="140">
        <f t="shared" si="7"/>
        <v>0</v>
      </c>
      <c r="BL13" s="140">
        <f t="shared" si="8"/>
        <v>2.7412280701754364E-2</v>
      </c>
      <c r="BM13" s="140">
        <f t="shared" si="9"/>
        <v>-0.46573519627411836</v>
      </c>
      <c r="BN13" s="140">
        <f t="shared" si="10"/>
        <v>7.1718671518963326</v>
      </c>
      <c r="BO13" s="140">
        <f t="shared" si="11"/>
        <v>9.2496998019753853</v>
      </c>
      <c r="BP13" s="140">
        <f t="shared" si="12"/>
        <v>16.421566953871718</v>
      </c>
      <c r="BQ13" s="140">
        <f t="shared" si="13"/>
        <v>12.653071755671657</v>
      </c>
      <c r="BR13" s="140">
        <f t="shared" si="14"/>
        <v>30</v>
      </c>
      <c r="BS13" s="141" t="str">
        <f t="shared" si="15"/>
        <v>○</v>
      </c>
    </row>
    <row r="14" spans="1:71" s="72" customFormat="1" ht="15" customHeight="1" x14ac:dyDescent="0.3">
      <c r="A14" s="117">
        <v>4</v>
      </c>
      <c r="B14" s="523">
        <v>42215</v>
      </c>
      <c r="C14" s="119">
        <v>0.41666666666666669</v>
      </c>
      <c r="D14" s="523">
        <v>42216</v>
      </c>
      <c r="E14" s="119">
        <v>0.41319444444444442</v>
      </c>
      <c r="F14" s="120">
        <v>27.9</v>
      </c>
      <c r="G14" s="121">
        <v>2.1522999999999999</v>
      </c>
      <c r="H14" s="122">
        <f t="shared" si="0"/>
        <v>2.0957922897972749</v>
      </c>
      <c r="I14" s="123">
        <v>0.72599999999999998</v>
      </c>
      <c r="J14" s="120">
        <v>2.2333333333333334E-2</v>
      </c>
      <c r="K14" s="120">
        <v>0.24399999999999999</v>
      </c>
      <c r="L14" s="120">
        <v>3.266666666666667E-2</v>
      </c>
      <c r="M14" s="120">
        <v>0.04</v>
      </c>
      <c r="N14" s="120">
        <v>2.4000000000000004E-2</v>
      </c>
      <c r="O14" s="120">
        <v>0.374</v>
      </c>
      <c r="P14" s="120">
        <v>1.1999999999999999E-2</v>
      </c>
      <c r="Q14" s="120">
        <v>4.3999999999999997E-2</v>
      </c>
      <c r="R14" s="120">
        <v>-3.6666666666666666E-3</v>
      </c>
      <c r="S14" s="120">
        <v>0</v>
      </c>
      <c r="T14" s="120">
        <v>0</v>
      </c>
      <c r="U14" s="120">
        <v>1.2999999999999999E-2</v>
      </c>
      <c r="V14" s="120">
        <v>5.6666666666666671E-3</v>
      </c>
      <c r="W14" s="120">
        <v>5.7000000000000002E-2</v>
      </c>
      <c r="X14" s="120">
        <v>2.6333333333333334E-2</v>
      </c>
      <c r="Y14" s="120">
        <v>0.17</v>
      </c>
      <c r="Z14" s="120">
        <v>2.2333333333333334E-2</v>
      </c>
      <c r="AA14" s="120">
        <v>0.27</v>
      </c>
      <c r="AB14" s="120">
        <v>0.13233333333333333</v>
      </c>
      <c r="AC14" s="120">
        <v>0.26500000000000001</v>
      </c>
      <c r="AD14" s="120">
        <v>0.21066666666666667</v>
      </c>
      <c r="AE14" s="120">
        <v>4.7E-2</v>
      </c>
      <c r="AF14" s="120">
        <v>6.6666666666666671E-3</v>
      </c>
      <c r="AG14" s="120">
        <v>0.27100000000000002</v>
      </c>
      <c r="AH14" s="120">
        <v>3.6333333333333336E-2</v>
      </c>
      <c r="AI14" s="120">
        <v>4.5999999999999999E-2</v>
      </c>
      <c r="AJ14" s="120">
        <v>3.5000000000000003E-2</v>
      </c>
      <c r="AK14" s="120">
        <v>0.57699999999999996</v>
      </c>
      <c r="AL14" s="124">
        <v>8.666666666666668E-3</v>
      </c>
      <c r="AM14" s="78"/>
      <c r="AN14" s="126">
        <f t="shared" si="1"/>
        <v>4</v>
      </c>
      <c r="AO14" s="127">
        <f t="shared" si="1"/>
        <v>42215</v>
      </c>
      <c r="AP14" s="128">
        <f t="shared" si="1"/>
        <v>0.41666666666666669</v>
      </c>
      <c r="AQ14" s="127">
        <f t="shared" si="1"/>
        <v>42216</v>
      </c>
      <c r="AR14" s="128">
        <f t="shared" si="1"/>
        <v>0.41319444444444442</v>
      </c>
      <c r="AS14" s="129">
        <f t="shared" si="16"/>
        <v>37.982306869875266</v>
      </c>
      <c r="AT14" s="130">
        <f t="shared" si="17"/>
        <v>21.185992926880491</v>
      </c>
      <c r="AU14" s="122">
        <f t="shared" si="18"/>
        <v>17.587347086650592</v>
      </c>
      <c r="AV14" s="131">
        <f t="shared" si="19"/>
        <v>321.97692073423576</v>
      </c>
      <c r="AW14" s="132">
        <f t="shared" si="20"/>
        <v>69.904664169404256</v>
      </c>
      <c r="AX14" s="132">
        <f t="shared" si="21"/>
        <v>32.522807543927911</v>
      </c>
      <c r="AY14" s="132">
        <f t="shared" si="22"/>
        <v>4.3071054089756551</v>
      </c>
      <c r="AZ14" s="133">
        <f t="shared" si="23"/>
        <v>191.49339316395401</v>
      </c>
      <c r="BA14" s="133">
        <f t="shared" si="24"/>
        <v>19.785980140813702</v>
      </c>
      <c r="BB14" s="133">
        <f t="shared" si="25"/>
        <v>0</v>
      </c>
      <c r="BC14" s="133">
        <f t="shared" si="26"/>
        <v>2.8787120427637065</v>
      </c>
      <c r="BD14" s="134">
        <f t="shared" si="27"/>
        <v>7.3162466566839601</v>
      </c>
      <c r="BF14" s="139">
        <f t="shared" si="2"/>
        <v>14.650565618710528</v>
      </c>
      <c r="BG14" s="140">
        <f t="shared" si="3"/>
        <v>3.408052464656238</v>
      </c>
      <c r="BH14" s="140">
        <f t="shared" si="4"/>
        <v>0.45133991537376578</v>
      </c>
      <c r="BI14" s="140">
        <f t="shared" si="5"/>
        <v>20.066518847006652</v>
      </c>
      <c r="BJ14" s="140">
        <f t="shared" si="6"/>
        <v>2.073365231259968</v>
      </c>
      <c r="BK14" s="140">
        <f t="shared" si="7"/>
        <v>0</v>
      </c>
      <c r="BL14" s="140">
        <f t="shared" si="8"/>
        <v>0.60307017543859642</v>
      </c>
      <c r="BM14" s="140">
        <f t="shared" si="9"/>
        <v>1.5302727877578177</v>
      </c>
      <c r="BN14" s="140">
        <f t="shared" si="10"/>
        <v>18.509957998740532</v>
      </c>
      <c r="BO14" s="140">
        <f t="shared" si="11"/>
        <v>24.273227041463031</v>
      </c>
      <c r="BP14" s="140">
        <f t="shared" si="12"/>
        <v>42.783185040203563</v>
      </c>
      <c r="BQ14" s="140">
        <f t="shared" si="13"/>
        <v>13.470874216837123</v>
      </c>
      <c r="BR14" s="140">
        <f t="shared" si="14"/>
        <v>30</v>
      </c>
      <c r="BS14" s="141" t="str">
        <f t="shared" si="15"/>
        <v>○</v>
      </c>
    </row>
    <row r="15" spans="1:71" s="72" customFormat="1" ht="15" customHeight="1" x14ac:dyDescent="0.3">
      <c r="A15" s="117">
        <v>5</v>
      </c>
      <c r="B15" s="523">
        <v>42216</v>
      </c>
      <c r="C15" s="119">
        <v>0.41666666666666669</v>
      </c>
      <c r="D15" s="523">
        <v>42217</v>
      </c>
      <c r="E15" s="119">
        <v>0.41319444444444442</v>
      </c>
      <c r="F15" s="120">
        <v>29.4</v>
      </c>
      <c r="G15" s="121">
        <v>2.1524000000000001</v>
      </c>
      <c r="H15" s="122">
        <f t="shared" si="0"/>
        <v>2.0854933862433862</v>
      </c>
      <c r="I15" s="123">
        <v>0.94</v>
      </c>
      <c r="J15" s="120">
        <v>2.2333333333333334E-2</v>
      </c>
      <c r="K15" s="120">
        <v>0.26</v>
      </c>
      <c r="L15" s="120">
        <v>3.266666666666667E-2</v>
      </c>
      <c r="M15" s="120">
        <v>3.1E-2</v>
      </c>
      <c r="N15" s="120">
        <v>2.4000000000000004E-2</v>
      </c>
      <c r="O15" s="120">
        <v>0.47899999999999998</v>
      </c>
      <c r="P15" s="120">
        <v>1.1999999999999999E-2</v>
      </c>
      <c r="Q15" s="120">
        <v>0.03</v>
      </c>
      <c r="R15" s="120">
        <v>-3.6666666666666666E-3</v>
      </c>
      <c r="S15" s="120">
        <v>0</v>
      </c>
      <c r="T15" s="120">
        <v>0</v>
      </c>
      <c r="U15" s="120">
        <v>7.0000000000000001E-3</v>
      </c>
      <c r="V15" s="120">
        <v>5.6666666666666671E-3</v>
      </c>
      <c r="W15" s="120">
        <v>6.6000000000000003E-2</v>
      </c>
      <c r="X15" s="120">
        <v>2.6333333333333334E-2</v>
      </c>
      <c r="Y15" s="120">
        <v>0.24399999999999999</v>
      </c>
      <c r="Z15" s="120">
        <v>2.2333333333333334E-2</v>
      </c>
      <c r="AA15" s="120">
        <v>0.33900000000000002</v>
      </c>
      <c r="AB15" s="120">
        <v>0.13233333333333333</v>
      </c>
      <c r="AC15" s="120">
        <v>0.23699999999999999</v>
      </c>
      <c r="AD15" s="120">
        <v>0.21066666666666667</v>
      </c>
      <c r="AE15" s="120">
        <v>4.5999999999999999E-2</v>
      </c>
      <c r="AF15" s="120">
        <v>6.6666666666666671E-3</v>
      </c>
      <c r="AG15" s="120">
        <v>0.46100000000000002</v>
      </c>
      <c r="AH15" s="120">
        <v>3.6333333333333336E-2</v>
      </c>
      <c r="AI15" s="120">
        <v>5.2999999999999999E-2</v>
      </c>
      <c r="AJ15" s="120">
        <v>3.5000000000000003E-2</v>
      </c>
      <c r="AK15" s="120">
        <v>0.28799999999999998</v>
      </c>
      <c r="AL15" s="124">
        <v>8.666666666666668E-3</v>
      </c>
      <c r="AM15" s="78"/>
      <c r="AN15" s="126">
        <f t="shared" si="1"/>
        <v>5</v>
      </c>
      <c r="AO15" s="127">
        <f t="shared" si="1"/>
        <v>42216</v>
      </c>
      <c r="AP15" s="128">
        <f t="shared" si="1"/>
        <v>0.41666666666666669</v>
      </c>
      <c r="AQ15" s="127">
        <f t="shared" si="1"/>
        <v>42217</v>
      </c>
      <c r="AR15" s="128">
        <f t="shared" si="1"/>
        <v>0.41319444444444442</v>
      </c>
      <c r="AS15" s="129">
        <f t="shared" si="16"/>
        <v>64.52606047337018</v>
      </c>
      <c r="AT15" s="130">
        <f t="shared" si="17"/>
        <v>31.961700838853901</v>
      </c>
      <c r="AU15" s="130">
        <f t="shared" si="18"/>
        <v>11.993206887451873</v>
      </c>
      <c r="AV15" s="131">
        <f t="shared" si="19"/>
        <v>169.40307256102633</v>
      </c>
      <c r="AW15" s="132">
        <f t="shared" si="20"/>
        <v>91.614360228565303</v>
      </c>
      <c r="AX15" s="132">
        <f t="shared" si="21"/>
        <v>35.157870922739285</v>
      </c>
      <c r="AY15" s="132">
        <f t="shared" si="22"/>
        <v>1.893664245387138</v>
      </c>
      <c r="AZ15" s="133">
        <f t="shared" si="23"/>
        <v>248.2570132405836</v>
      </c>
      <c r="BA15" s="133">
        <f t="shared" si="24"/>
        <v>14.043725320318115</v>
      </c>
      <c r="BB15" s="133">
        <f t="shared" si="25"/>
        <v>0</v>
      </c>
      <c r="BC15" s="133">
        <f t="shared" si="26"/>
        <v>0.52598693462595503</v>
      </c>
      <c r="BD15" s="134">
        <f t="shared" si="27"/>
        <v>9.5101396456879961</v>
      </c>
      <c r="BF15" s="139">
        <f t="shared" si="2"/>
        <v>19.106114234159207</v>
      </c>
      <c r="BG15" s="140">
        <f t="shared" si="3"/>
        <v>3.6660753641885715</v>
      </c>
      <c r="BH15" s="140">
        <f t="shared" si="4"/>
        <v>0.19746121297602243</v>
      </c>
      <c r="BI15" s="140">
        <f t="shared" si="5"/>
        <v>25.886917960088692</v>
      </c>
      <c r="BJ15" s="140">
        <f t="shared" si="6"/>
        <v>1.4644048136871104</v>
      </c>
      <c r="BK15" s="140">
        <f t="shared" si="7"/>
        <v>0</v>
      </c>
      <c r="BL15" s="140">
        <f t="shared" si="8"/>
        <v>0.10964912280701752</v>
      </c>
      <c r="BM15" s="140">
        <f t="shared" si="9"/>
        <v>1.9793745841650037</v>
      </c>
      <c r="BN15" s="140">
        <f t="shared" si="10"/>
        <v>22.969650811323802</v>
      </c>
      <c r="BO15" s="140">
        <f t="shared" si="11"/>
        <v>29.440346480747824</v>
      </c>
      <c r="BP15" s="140">
        <f t="shared" si="12"/>
        <v>52.409997292071623</v>
      </c>
      <c r="BQ15" s="140">
        <f t="shared" si="13"/>
        <v>12.346300331526409</v>
      </c>
      <c r="BR15" s="140">
        <f t="shared" si="14"/>
        <v>15</v>
      </c>
      <c r="BS15" s="141" t="str">
        <f t="shared" si="15"/>
        <v>○</v>
      </c>
    </row>
    <row r="16" spans="1:71" s="72" customFormat="1" ht="15" customHeight="1" x14ac:dyDescent="0.3">
      <c r="A16" s="117">
        <v>6</v>
      </c>
      <c r="B16" s="523">
        <v>42217</v>
      </c>
      <c r="C16" s="119">
        <v>0.41666666666666669</v>
      </c>
      <c r="D16" s="523">
        <v>42218</v>
      </c>
      <c r="E16" s="119">
        <v>0.41319444444444442</v>
      </c>
      <c r="F16" s="120">
        <v>30.4</v>
      </c>
      <c r="G16" s="121">
        <v>2.1522999999999999</v>
      </c>
      <c r="H16" s="122">
        <f t="shared" si="0"/>
        <v>2.0785230718523402</v>
      </c>
      <c r="I16" s="123">
        <v>1.78</v>
      </c>
      <c r="J16" s="120">
        <v>2.2333333333333334E-2</v>
      </c>
      <c r="K16" s="120">
        <v>0.36599999999999999</v>
      </c>
      <c r="L16" s="120">
        <v>3.266666666666667E-2</v>
      </c>
      <c r="M16" s="120">
        <v>4.1000000000000002E-2</v>
      </c>
      <c r="N16" s="120">
        <v>2.4000000000000004E-2</v>
      </c>
      <c r="O16" s="120">
        <v>0.82399999999999995</v>
      </c>
      <c r="P16" s="120">
        <v>1.1999999999999999E-2</v>
      </c>
      <c r="Q16" s="120">
        <v>5.7000000000000002E-2</v>
      </c>
      <c r="R16" s="120">
        <v>-3.6666666666666666E-3</v>
      </c>
      <c r="S16" s="120">
        <v>5.0000000000000001E-3</v>
      </c>
      <c r="T16" s="120">
        <v>0</v>
      </c>
      <c r="U16" s="120">
        <v>1.2E-2</v>
      </c>
      <c r="V16" s="120">
        <v>5.6666666666666671E-3</v>
      </c>
      <c r="W16" s="120">
        <v>9.8000000000000004E-2</v>
      </c>
      <c r="X16" s="120">
        <v>2.6333333333333334E-2</v>
      </c>
      <c r="Y16" s="120">
        <v>0.21</v>
      </c>
      <c r="Z16" s="120">
        <v>2.2333333333333334E-2</v>
      </c>
      <c r="AA16" s="120">
        <v>0.622</v>
      </c>
      <c r="AB16" s="120">
        <v>0.13233333333333333</v>
      </c>
      <c r="AC16" s="120">
        <v>0.33500000000000002</v>
      </c>
      <c r="AD16" s="120">
        <v>0.21066666666666667</v>
      </c>
      <c r="AE16" s="120">
        <v>7.8E-2</v>
      </c>
      <c r="AF16" s="120">
        <v>6.6666666666666671E-3</v>
      </c>
      <c r="AG16" s="120">
        <v>0.47599999999999998</v>
      </c>
      <c r="AH16" s="120">
        <v>3.6333333333333336E-2</v>
      </c>
      <c r="AI16" s="120">
        <v>5.6000000000000001E-2</v>
      </c>
      <c r="AJ16" s="120">
        <v>3.5000000000000003E-2</v>
      </c>
      <c r="AK16" s="120">
        <v>0.23200000000000001</v>
      </c>
      <c r="AL16" s="124">
        <v>8.666666666666668E-3</v>
      </c>
      <c r="AM16" s="78"/>
      <c r="AN16" s="126">
        <f t="shared" si="1"/>
        <v>6</v>
      </c>
      <c r="AO16" s="127">
        <f t="shared" si="1"/>
        <v>42217</v>
      </c>
      <c r="AP16" s="128">
        <f t="shared" si="1"/>
        <v>0.41666666666666669</v>
      </c>
      <c r="AQ16" s="127">
        <f t="shared" si="1"/>
        <v>42218</v>
      </c>
      <c r="AR16" s="128">
        <f t="shared" si="1"/>
        <v>0.41319444444444442</v>
      </c>
      <c r="AS16" s="129">
        <f t="shared" si="16"/>
        <v>62.839240615643725</v>
      </c>
      <c r="AT16" s="132">
        <f t="shared" si="17"/>
        <v>75.98256596754392</v>
      </c>
      <c r="AU16" s="130">
        <f t="shared" si="18"/>
        <v>39.447922936210901</v>
      </c>
      <c r="AV16" s="131">
        <f t="shared" si="19"/>
        <v>157.16998914115297</v>
      </c>
      <c r="AW16" s="132">
        <f t="shared" si="20"/>
        <v>176.06339838803899</v>
      </c>
      <c r="AX16" s="132">
        <f t="shared" si="21"/>
        <v>51.724006785257941</v>
      </c>
      <c r="AY16" s="132">
        <f t="shared" si="22"/>
        <v>4.6143212608870545</v>
      </c>
      <c r="AZ16" s="133">
        <f t="shared" si="23"/>
        <v>433.10644066498708</v>
      </c>
      <c r="BA16" s="133">
        <f t="shared" si="24"/>
        <v>25.391380176476723</v>
      </c>
      <c r="BB16" s="133">
        <f t="shared" si="25"/>
        <v>1.2304625297009633</v>
      </c>
      <c r="BC16" s="133">
        <f t="shared" si="26"/>
        <v>2.5068164358010305</v>
      </c>
      <c r="BD16" s="134">
        <f t="shared" si="27"/>
        <v>17.239805426551918</v>
      </c>
      <c r="BF16" s="139">
        <f t="shared" si="2"/>
        <v>36.595183565826915</v>
      </c>
      <c r="BG16" s="140">
        <f t="shared" si="3"/>
        <v>5.3754770735902806</v>
      </c>
      <c r="BH16" s="140">
        <f t="shared" si="4"/>
        <v>0.4795486600846261</v>
      </c>
      <c r="BI16" s="140">
        <f t="shared" si="5"/>
        <v>45.011086474501113</v>
      </c>
      <c r="BJ16" s="140">
        <f t="shared" si="6"/>
        <v>2.6388284761490506</v>
      </c>
      <c r="BK16" s="140">
        <f t="shared" si="7"/>
        <v>0.12787723785166238</v>
      </c>
      <c r="BL16" s="140">
        <f t="shared" si="8"/>
        <v>0.52083333333333337</v>
      </c>
      <c r="BM16" s="140">
        <f t="shared" si="9"/>
        <v>3.5761809713905528</v>
      </c>
      <c r="BN16" s="140">
        <f t="shared" si="10"/>
        <v>42.450209299501822</v>
      </c>
      <c r="BO16" s="140">
        <f t="shared" si="11"/>
        <v>51.874806493225719</v>
      </c>
      <c r="BP16" s="140">
        <f t="shared" si="12"/>
        <v>94.325015792727541</v>
      </c>
      <c r="BQ16" s="140">
        <f t="shared" si="13"/>
        <v>9.9916200538293829</v>
      </c>
      <c r="BR16" s="140">
        <f t="shared" si="14"/>
        <v>15</v>
      </c>
      <c r="BS16" s="141" t="str">
        <f t="shared" si="15"/>
        <v>○</v>
      </c>
    </row>
    <row r="17" spans="1:72" s="77" customFormat="1" ht="15" customHeight="1" x14ac:dyDescent="0.3">
      <c r="A17" s="142">
        <v>7</v>
      </c>
      <c r="B17" s="525">
        <v>42218</v>
      </c>
      <c r="C17" s="144">
        <v>0.41666666666666669</v>
      </c>
      <c r="D17" s="525">
        <v>42219</v>
      </c>
      <c r="E17" s="144">
        <v>0.41319444444444442</v>
      </c>
      <c r="F17" s="146">
        <v>29.9</v>
      </c>
      <c r="G17" s="147">
        <v>2.1524000000000001</v>
      </c>
      <c r="H17" s="148">
        <f t="shared" si="0"/>
        <v>2.0820508418620007</v>
      </c>
      <c r="I17" s="149">
        <v>0.71</v>
      </c>
      <c r="J17" s="146">
        <v>2.2333333333333334E-2</v>
      </c>
      <c r="K17" s="146">
        <v>0.10299999999999999</v>
      </c>
      <c r="L17" s="146">
        <v>3.266666666666667E-2</v>
      </c>
      <c r="M17" s="146">
        <v>0.03</v>
      </c>
      <c r="N17" s="146">
        <v>2.4000000000000004E-2</v>
      </c>
      <c r="O17" s="146">
        <v>0.316</v>
      </c>
      <c r="P17" s="146">
        <v>1.1999999999999999E-2</v>
      </c>
      <c r="Q17" s="146">
        <v>1.9E-2</v>
      </c>
      <c r="R17" s="146">
        <v>-3.6666666666666666E-3</v>
      </c>
      <c r="S17" s="146">
        <v>4.0000000000000001E-3</v>
      </c>
      <c r="T17" s="146">
        <v>0</v>
      </c>
      <c r="U17" s="146">
        <v>1.7000000000000001E-2</v>
      </c>
      <c r="V17" s="146">
        <v>5.6666666666666671E-3</v>
      </c>
      <c r="W17" s="146">
        <v>6.9000000000000006E-2</v>
      </c>
      <c r="X17" s="146">
        <v>2.6333333333333334E-2</v>
      </c>
      <c r="Y17" s="146">
        <v>0.46400000000000002</v>
      </c>
      <c r="Z17" s="146">
        <v>2.2333333333333334E-2</v>
      </c>
      <c r="AA17" s="146">
        <v>0.33700000000000002</v>
      </c>
      <c r="AB17" s="146">
        <v>0.13233333333333333</v>
      </c>
      <c r="AC17" s="146">
        <v>0.249</v>
      </c>
      <c r="AD17" s="146">
        <v>0.21066666666666667</v>
      </c>
      <c r="AE17" s="146">
        <v>9.1999999999999998E-2</v>
      </c>
      <c r="AF17" s="146">
        <v>6.6666666666666671E-3</v>
      </c>
      <c r="AG17" s="146">
        <v>0.26200000000000001</v>
      </c>
      <c r="AH17" s="146">
        <v>3.6333333333333336E-2</v>
      </c>
      <c r="AI17" s="146">
        <v>5.3999999999999999E-2</v>
      </c>
      <c r="AJ17" s="146">
        <v>3.5000000000000003E-2</v>
      </c>
      <c r="AK17" s="146">
        <v>0.44</v>
      </c>
      <c r="AL17" s="150">
        <v>8.666666666666668E-3</v>
      </c>
      <c r="AN17" s="151">
        <f t="shared" si="1"/>
        <v>7</v>
      </c>
      <c r="AO17" s="152">
        <f t="shared" si="1"/>
        <v>42218</v>
      </c>
      <c r="AP17" s="153">
        <f t="shared" si="1"/>
        <v>0.41666666666666669</v>
      </c>
      <c r="AQ17" s="152">
        <f t="shared" si="1"/>
        <v>42219</v>
      </c>
      <c r="AR17" s="153">
        <f t="shared" si="1"/>
        <v>0.41319444444444442</v>
      </c>
      <c r="AS17" s="154">
        <f t="shared" si="16"/>
        <v>66.732731447717597</v>
      </c>
      <c r="AT17" s="155">
        <f t="shared" si="17"/>
        <v>31.704729364175581</v>
      </c>
      <c r="AU17" s="155">
        <f t="shared" si="18"/>
        <v>15.535656775569327</v>
      </c>
      <c r="AV17" s="156">
        <f t="shared" si="19"/>
        <v>275.11392663448015</v>
      </c>
      <c r="AW17" s="157">
        <f t="shared" si="20"/>
        <v>68.766046441878814</v>
      </c>
      <c r="AX17" s="157">
        <f t="shared" si="21"/>
        <v>10.895273445995189</v>
      </c>
      <c r="AY17" s="157">
        <f t="shared" si="22"/>
        <v>1.6258245462805099</v>
      </c>
      <c r="AZ17" s="158">
        <f t="shared" si="23"/>
        <v>161.87348457461025</v>
      </c>
      <c r="BA17" s="158">
        <f t="shared" si="24"/>
        <v>9.4708149709144092</v>
      </c>
      <c r="BB17" s="158">
        <f t="shared" si="25"/>
        <v>0.98270213411157936</v>
      </c>
      <c r="BC17" s="158">
        <f t="shared" si="26"/>
        <v>4.4782812871518365</v>
      </c>
      <c r="BD17" s="159">
        <f t="shared" si="27"/>
        <v>10.246307585003402</v>
      </c>
      <c r="BF17" s="139">
        <f t="shared" si="2"/>
        <v>14.317440488583523</v>
      </c>
      <c r="BG17" s="140">
        <f t="shared" si="3"/>
        <v>1.1342256625275493</v>
      </c>
      <c r="BH17" s="140">
        <f t="shared" si="4"/>
        <v>0.16925246826516205</v>
      </c>
      <c r="BI17" s="140">
        <f t="shared" si="5"/>
        <v>16.851441241685144</v>
      </c>
      <c r="BJ17" s="140">
        <f t="shared" si="6"/>
        <v>0.98593591416557924</v>
      </c>
      <c r="BK17" s="140">
        <f t="shared" si="7"/>
        <v>0.10230179028132992</v>
      </c>
      <c r="BL17" s="140">
        <f t="shared" si="8"/>
        <v>0.93201754385964919</v>
      </c>
      <c r="BM17" s="140">
        <f t="shared" si="9"/>
        <v>2.1290751829673988</v>
      </c>
      <c r="BN17" s="140">
        <f t="shared" si="10"/>
        <v>15.620918619376235</v>
      </c>
      <c r="BO17" s="140">
        <f t="shared" si="11"/>
        <v>21.000771672959104</v>
      </c>
      <c r="BP17" s="140">
        <f t="shared" si="12"/>
        <v>36.621690292335337</v>
      </c>
      <c r="BQ17" s="140">
        <f t="shared" si="13"/>
        <v>14.690346105375793</v>
      </c>
      <c r="BR17" s="140">
        <f t="shared" si="14"/>
        <v>30</v>
      </c>
      <c r="BS17" s="141" t="str">
        <f t="shared" si="15"/>
        <v>○</v>
      </c>
    </row>
    <row r="18" spans="1:72" s="72" customFormat="1" ht="15" customHeight="1" x14ac:dyDescent="0.3">
      <c r="A18" s="117"/>
      <c r="B18" s="118"/>
      <c r="C18" s="119"/>
      <c r="D18" s="118"/>
      <c r="E18" s="119"/>
      <c r="F18" s="120"/>
      <c r="G18" s="121"/>
      <c r="H18" s="122"/>
      <c r="I18" s="12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4"/>
      <c r="AM18" s="78"/>
      <c r="AN18" s="126">
        <f t="shared" si="1"/>
        <v>0</v>
      </c>
      <c r="AO18" s="127">
        <f t="shared" si="1"/>
        <v>0</v>
      </c>
      <c r="AP18" s="128">
        <f t="shared" si="1"/>
        <v>0</v>
      </c>
      <c r="AQ18" s="127">
        <f t="shared" si="1"/>
        <v>0</v>
      </c>
      <c r="AR18" s="128">
        <f t="shared" si="1"/>
        <v>0</v>
      </c>
      <c r="AS18" s="160" t="e">
        <f t="shared" si="16"/>
        <v>#DIV/0!</v>
      </c>
      <c r="AT18" s="122" t="e">
        <f t="shared" si="17"/>
        <v>#DIV/0!</v>
      </c>
      <c r="AU18" s="122" t="e">
        <f>1000/35.45*(AC18-AD18+AI18-AJ18)*20/H18</f>
        <v>#DIV/0!</v>
      </c>
      <c r="AV18" s="122" t="e">
        <f t="shared" si="19"/>
        <v>#DIV/0!</v>
      </c>
      <c r="AW18" s="122" t="e">
        <f t="shared" ref="AW18:AW24" si="28">1000/96.06*(I18-J18)*40/H18</f>
        <v>#DIV/0!</v>
      </c>
      <c r="AX18" s="122" t="e">
        <f t="shared" ref="AX18:AX24" si="29">1000/62.01*(K18-L18)*40/H18</f>
        <v>#DIV/0!</v>
      </c>
      <c r="AY18" s="122" t="e">
        <f t="shared" ref="AY18:AY24" si="30">1000/35.45*(M18-N18)*40/H18</f>
        <v>#DIV/0!</v>
      </c>
      <c r="AZ18" s="161" t="e">
        <f t="shared" ref="AZ18:AZ24" si="31">1000/18.04*(O18-P18)*40/H18</f>
        <v>#DIV/0!</v>
      </c>
      <c r="BA18" s="161" t="e">
        <f t="shared" ref="BA18:BA24" si="32">1000/22.99*(Q18-R18)*40/H18</f>
        <v>#DIV/0!</v>
      </c>
      <c r="BB18" s="161" t="e">
        <f t="shared" ref="BB18:BB24" si="33">1000/39.1*(S18-T18)*40/H18</f>
        <v>#DIV/0!</v>
      </c>
      <c r="BC18" s="161" t="e">
        <f t="shared" ref="BC18:BC24" si="34">1000/24.31*(U18-V18)*40/H18</f>
        <v>#DIV/0!</v>
      </c>
      <c r="BD18" s="162" t="e">
        <f t="shared" ref="BD18:BD24" si="35">1000/40*(W18-X18)*40/H18</f>
        <v>#DIV/0!</v>
      </c>
      <c r="BF18" s="163">
        <f t="shared" si="2"/>
        <v>0</v>
      </c>
      <c r="BG18" s="164">
        <f t="shared" si="3"/>
        <v>0</v>
      </c>
      <c r="BH18" s="164">
        <f t="shared" si="4"/>
        <v>0</v>
      </c>
      <c r="BI18" s="164">
        <f t="shared" si="5"/>
        <v>0</v>
      </c>
      <c r="BJ18" s="164">
        <f t="shared" si="6"/>
        <v>0</v>
      </c>
      <c r="BK18" s="164">
        <f t="shared" si="7"/>
        <v>0</v>
      </c>
      <c r="BL18" s="164">
        <f t="shared" si="8"/>
        <v>0</v>
      </c>
      <c r="BM18" s="164">
        <f t="shared" si="9"/>
        <v>0</v>
      </c>
      <c r="BN18" s="164">
        <f t="shared" si="10"/>
        <v>0</v>
      </c>
      <c r="BO18" s="164">
        <f t="shared" si="11"/>
        <v>0</v>
      </c>
      <c r="BP18" s="164">
        <f t="shared" si="12"/>
        <v>0</v>
      </c>
      <c r="BQ18" s="164" t="e">
        <f t="shared" si="13"/>
        <v>#DIV/0!</v>
      </c>
      <c r="BR18" s="164">
        <f t="shared" si="14"/>
        <v>30</v>
      </c>
      <c r="BS18" s="165" t="e">
        <f t="shared" si="15"/>
        <v>#DIV/0!</v>
      </c>
    </row>
    <row r="19" spans="1:72" s="72" customFormat="1" ht="15" customHeight="1" x14ac:dyDescent="0.3">
      <c r="A19" s="117"/>
      <c r="B19" s="118"/>
      <c r="C19" s="119"/>
      <c r="D19" s="118"/>
      <c r="E19" s="119"/>
      <c r="F19" s="120"/>
      <c r="G19" s="121"/>
      <c r="H19" s="122"/>
      <c r="I19" s="12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4"/>
      <c r="AM19" s="78"/>
      <c r="AN19" s="126">
        <f t="shared" si="1"/>
        <v>0</v>
      </c>
      <c r="AO19" s="127">
        <f t="shared" si="1"/>
        <v>0</v>
      </c>
      <c r="AP19" s="128">
        <f t="shared" si="1"/>
        <v>0</v>
      </c>
      <c r="AQ19" s="127">
        <f t="shared" si="1"/>
        <v>0</v>
      </c>
      <c r="AR19" s="128">
        <f t="shared" si="1"/>
        <v>0</v>
      </c>
      <c r="AS19" s="160" t="e">
        <f t="shared" si="16"/>
        <v>#DIV/0!</v>
      </c>
      <c r="AT19" s="122" t="e">
        <f t="shared" si="17"/>
        <v>#DIV/0!</v>
      </c>
      <c r="AU19" s="122" t="e">
        <f t="shared" ref="AU19:AU38" si="36">1000/35.45*(AC19-AD19+AI19-AJ19)*20/H19</f>
        <v>#DIV/0!</v>
      </c>
      <c r="AV19" s="122" t="e">
        <f t="shared" si="19"/>
        <v>#DIV/0!</v>
      </c>
      <c r="AW19" s="122" t="e">
        <f t="shared" si="28"/>
        <v>#DIV/0!</v>
      </c>
      <c r="AX19" s="122" t="e">
        <f t="shared" si="29"/>
        <v>#DIV/0!</v>
      </c>
      <c r="AY19" s="122" t="e">
        <f t="shared" si="30"/>
        <v>#DIV/0!</v>
      </c>
      <c r="AZ19" s="161" t="e">
        <f t="shared" si="31"/>
        <v>#DIV/0!</v>
      </c>
      <c r="BA19" s="161" t="e">
        <f t="shared" si="32"/>
        <v>#DIV/0!</v>
      </c>
      <c r="BB19" s="161" t="e">
        <f t="shared" si="33"/>
        <v>#DIV/0!</v>
      </c>
      <c r="BC19" s="161" t="e">
        <f t="shared" si="34"/>
        <v>#DIV/0!</v>
      </c>
      <c r="BD19" s="162" t="e">
        <f t="shared" si="35"/>
        <v>#DIV/0!</v>
      </c>
      <c r="BF19" s="139">
        <f t="shared" si="2"/>
        <v>0</v>
      </c>
      <c r="BG19" s="140">
        <f t="shared" si="3"/>
        <v>0</v>
      </c>
      <c r="BH19" s="140">
        <f t="shared" si="4"/>
        <v>0</v>
      </c>
      <c r="BI19" s="140">
        <f t="shared" si="5"/>
        <v>0</v>
      </c>
      <c r="BJ19" s="140">
        <f t="shared" si="6"/>
        <v>0</v>
      </c>
      <c r="BK19" s="140">
        <f t="shared" si="7"/>
        <v>0</v>
      </c>
      <c r="BL19" s="140">
        <f t="shared" si="8"/>
        <v>0</v>
      </c>
      <c r="BM19" s="140">
        <f t="shared" si="9"/>
        <v>0</v>
      </c>
      <c r="BN19" s="140">
        <f t="shared" si="10"/>
        <v>0</v>
      </c>
      <c r="BO19" s="140">
        <f t="shared" si="11"/>
        <v>0</v>
      </c>
      <c r="BP19" s="140">
        <f t="shared" si="12"/>
        <v>0</v>
      </c>
      <c r="BQ19" s="140" t="e">
        <f t="shared" si="13"/>
        <v>#DIV/0!</v>
      </c>
      <c r="BR19" s="140">
        <f t="shared" si="14"/>
        <v>30</v>
      </c>
      <c r="BS19" s="141" t="e">
        <f t="shared" si="15"/>
        <v>#DIV/0!</v>
      </c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>
        <f t="shared" si="1"/>
        <v>0</v>
      </c>
      <c r="AO20" s="127">
        <f t="shared" si="1"/>
        <v>0</v>
      </c>
      <c r="AP20" s="128">
        <f t="shared" si="1"/>
        <v>0</v>
      </c>
      <c r="AQ20" s="127">
        <f t="shared" si="1"/>
        <v>0</v>
      </c>
      <c r="AR20" s="128">
        <f t="shared" si="1"/>
        <v>0</v>
      </c>
      <c r="AS20" s="160" t="e">
        <f t="shared" si="16"/>
        <v>#DIV/0!</v>
      </c>
      <c r="AT20" s="122" t="e">
        <f t="shared" si="17"/>
        <v>#DIV/0!</v>
      </c>
      <c r="AU20" s="122" t="e">
        <f t="shared" si="36"/>
        <v>#DIV/0!</v>
      </c>
      <c r="AV20" s="122" t="e">
        <f t="shared" si="19"/>
        <v>#DIV/0!</v>
      </c>
      <c r="AW20" s="122" t="e">
        <f t="shared" si="28"/>
        <v>#DIV/0!</v>
      </c>
      <c r="AX20" s="122" t="e">
        <f t="shared" si="29"/>
        <v>#DIV/0!</v>
      </c>
      <c r="AY20" s="122" t="e">
        <f t="shared" si="30"/>
        <v>#DIV/0!</v>
      </c>
      <c r="AZ20" s="161" t="e">
        <f t="shared" si="31"/>
        <v>#DIV/0!</v>
      </c>
      <c r="BA20" s="161" t="e">
        <f t="shared" si="32"/>
        <v>#DIV/0!</v>
      </c>
      <c r="BB20" s="161" t="e">
        <f t="shared" si="33"/>
        <v>#DIV/0!</v>
      </c>
      <c r="BC20" s="161" t="e">
        <f t="shared" si="34"/>
        <v>#DIV/0!</v>
      </c>
      <c r="BD20" s="162" t="e">
        <f t="shared" si="35"/>
        <v>#DIV/0!</v>
      </c>
      <c r="BF20" s="139">
        <f t="shared" si="2"/>
        <v>0</v>
      </c>
      <c r="BG20" s="140">
        <f t="shared" si="3"/>
        <v>0</v>
      </c>
      <c r="BH20" s="140">
        <f t="shared" si="4"/>
        <v>0</v>
      </c>
      <c r="BI20" s="140">
        <f t="shared" si="5"/>
        <v>0</v>
      </c>
      <c r="BJ20" s="140">
        <f t="shared" si="6"/>
        <v>0</v>
      </c>
      <c r="BK20" s="140">
        <f t="shared" si="7"/>
        <v>0</v>
      </c>
      <c r="BL20" s="140">
        <f t="shared" si="8"/>
        <v>0</v>
      </c>
      <c r="BM20" s="140">
        <f t="shared" si="9"/>
        <v>0</v>
      </c>
      <c r="BN20" s="140">
        <f t="shared" si="10"/>
        <v>0</v>
      </c>
      <c r="BO20" s="140">
        <f t="shared" si="11"/>
        <v>0</v>
      </c>
      <c r="BP20" s="140">
        <f t="shared" si="12"/>
        <v>0</v>
      </c>
      <c r="BQ20" s="140" t="e">
        <f t="shared" si="13"/>
        <v>#DIV/0!</v>
      </c>
      <c r="BR20" s="140">
        <f t="shared" si="14"/>
        <v>30</v>
      </c>
      <c r="BS20" s="141" t="e">
        <f t="shared" si="15"/>
        <v>#DIV/0!</v>
      </c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>
        <f t="shared" si="1"/>
        <v>0</v>
      </c>
      <c r="AO21" s="127">
        <f t="shared" si="1"/>
        <v>0</v>
      </c>
      <c r="AP21" s="128">
        <f t="shared" si="1"/>
        <v>0</v>
      </c>
      <c r="AQ21" s="127">
        <f t="shared" si="1"/>
        <v>0</v>
      </c>
      <c r="AR21" s="128">
        <f t="shared" si="1"/>
        <v>0</v>
      </c>
      <c r="AS21" s="160" t="e">
        <f t="shared" si="16"/>
        <v>#DIV/0!</v>
      </c>
      <c r="AT21" s="122" t="e">
        <f t="shared" si="17"/>
        <v>#DIV/0!</v>
      </c>
      <c r="AU21" s="122" t="e">
        <f t="shared" si="36"/>
        <v>#DIV/0!</v>
      </c>
      <c r="AV21" s="122" t="e">
        <f t="shared" si="19"/>
        <v>#DIV/0!</v>
      </c>
      <c r="AW21" s="122" t="e">
        <f t="shared" si="28"/>
        <v>#DIV/0!</v>
      </c>
      <c r="AX21" s="122" t="e">
        <f t="shared" si="29"/>
        <v>#DIV/0!</v>
      </c>
      <c r="AY21" s="122" t="e">
        <f t="shared" si="30"/>
        <v>#DIV/0!</v>
      </c>
      <c r="AZ21" s="161" t="e">
        <f t="shared" si="31"/>
        <v>#DIV/0!</v>
      </c>
      <c r="BA21" s="161" t="e">
        <f t="shared" si="32"/>
        <v>#DIV/0!</v>
      </c>
      <c r="BB21" s="161" t="e">
        <f t="shared" si="33"/>
        <v>#DIV/0!</v>
      </c>
      <c r="BC21" s="161" t="e">
        <f t="shared" si="34"/>
        <v>#DIV/0!</v>
      </c>
      <c r="BD21" s="162" t="e">
        <f t="shared" si="35"/>
        <v>#DIV/0!</v>
      </c>
      <c r="BF21" s="139">
        <f t="shared" si="2"/>
        <v>0</v>
      </c>
      <c r="BG21" s="140">
        <f t="shared" si="3"/>
        <v>0</v>
      </c>
      <c r="BH21" s="140">
        <f t="shared" si="4"/>
        <v>0</v>
      </c>
      <c r="BI21" s="140">
        <f t="shared" si="5"/>
        <v>0</v>
      </c>
      <c r="BJ21" s="140">
        <f t="shared" si="6"/>
        <v>0</v>
      </c>
      <c r="BK21" s="140">
        <f t="shared" si="7"/>
        <v>0</v>
      </c>
      <c r="BL21" s="140">
        <f t="shared" si="8"/>
        <v>0</v>
      </c>
      <c r="BM21" s="140">
        <f t="shared" si="9"/>
        <v>0</v>
      </c>
      <c r="BN21" s="140">
        <f t="shared" si="10"/>
        <v>0</v>
      </c>
      <c r="BO21" s="140">
        <f t="shared" si="11"/>
        <v>0</v>
      </c>
      <c r="BP21" s="140">
        <f t="shared" si="12"/>
        <v>0</v>
      </c>
      <c r="BQ21" s="140" t="e">
        <f t="shared" si="13"/>
        <v>#DIV/0!</v>
      </c>
      <c r="BR21" s="140">
        <f t="shared" si="14"/>
        <v>30</v>
      </c>
      <c r="BS21" s="141" t="e">
        <f t="shared" si="15"/>
        <v>#DIV/0!</v>
      </c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>
        <f t="shared" si="1"/>
        <v>0</v>
      </c>
      <c r="AO22" s="127">
        <f t="shared" si="1"/>
        <v>0</v>
      </c>
      <c r="AP22" s="128">
        <f t="shared" si="1"/>
        <v>0</v>
      </c>
      <c r="AQ22" s="127">
        <f t="shared" si="1"/>
        <v>0</v>
      </c>
      <c r="AR22" s="128">
        <f t="shared" si="1"/>
        <v>0</v>
      </c>
      <c r="AS22" s="160" t="e">
        <f t="shared" si="16"/>
        <v>#DIV/0!</v>
      </c>
      <c r="AT22" s="122" t="e">
        <f t="shared" si="17"/>
        <v>#DIV/0!</v>
      </c>
      <c r="AU22" s="122" t="e">
        <f t="shared" si="36"/>
        <v>#DIV/0!</v>
      </c>
      <c r="AV22" s="122" t="e">
        <f t="shared" si="19"/>
        <v>#DIV/0!</v>
      </c>
      <c r="AW22" s="122" t="e">
        <f t="shared" si="28"/>
        <v>#DIV/0!</v>
      </c>
      <c r="AX22" s="122" t="e">
        <f t="shared" si="29"/>
        <v>#DIV/0!</v>
      </c>
      <c r="AY22" s="122" t="e">
        <f t="shared" si="30"/>
        <v>#DIV/0!</v>
      </c>
      <c r="AZ22" s="161" t="e">
        <f t="shared" si="31"/>
        <v>#DIV/0!</v>
      </c>
      <c r="BA22" s="161" t="e">
        <f t="shared" si="32"/>
        <v>#DIV/0!</v>
      </c>
      <c r="BB22" s="161" t="e">
        <f t="shared" si="33"/>
        <v>#DIV/0!</v>
      </c>
      <c r="BC22" s="161" t="e">
        <f t="shared" si="34"/>
        <v>#DIV/0!</v>
      </c>
      <c r="BD22" s="162" t="e">
        <f t="shared" si="35"/>
        <v>#DIV/0!</v>
      </c>
      <c r="BF22" s="139">
        <f t="shared" si="2"/>
        <v>0</v>
      </c>
      <c r="BG22" s="140">
        <f t="shared" si="3"/>
        <v>0</v>
      </c>
      <c r="BH22" s="140">
        <f t="shared" si="4"/>
        <v>0</v>
      </c>
      <c r="BI22" s="140">
        <f t="shared" si="5"/>
        <v>0</v>
      </c>
      <c r="BJ22" s="140">
        <f t="shared" si="6"/>
        <v>0</v>
      </c>
      <c r="BK22" s="140">
        <f t="shared" si="7"/>
        <v>0</v>
      </c>
      <c r="BL22" s="140">
        <f t="shared" si="8"/>
        <v>0</v>
      </c>
      <c r="BM22" s="140">
        <f t="shared" si="9"/>
        <v>0</v>
      </c>
      <c r="BN22" s="140">
        <f t="shared" si="10"/>
        <v>0</v>
      </c>
      <c r="BO22" s="140">
        <f t="shared" si="11"/>
        <v>0</v>
      </c>
      <c r="BP22" s="140">
        <f t="shared" si="12"/>
        <v>0</v>
      </c>
      <c r="BQ22" s="140" t="e">
        <f t="shared" si="13"/>
        <v>#DIV/0!</v>
      </c>
      <c r="BR22" s="140">
        <f t="shared" si="14"/>
        <v>30</v>
      </c>
      <c r="BS22" s="141" t="e">
        <f t="shared" si="15"/>
        <v>#DIV/0!</v>
      </c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>
        <f t="shared" si="1"/>
        <v>0</v>
      </c>
      <c r="AO23" s="127">
        <f t="shared" si="1"/>
        <v>0</v>
      </c>
      <c r="AP23" s="128">
        <f t="shared" si="1"/>
        <v>0</v>
      </c>
      <c r="AQ23" s="127">
        <f t="shared" si="1"/>
        <v>0</v>
      </c>
      <c r="AR23" s="128">
        <f t="shared" si="1"/>
        <v>0</v>
      </c>
      <c r="AS23" s="160" t="e">
        <f t="shared" si="16"/>
        <v>#DIV/0!</v>
      </c>
      <c r="AT23" s="122" t="e">
        <f t="shared" si="17"/>
        <v>#DIV/0!</v>
      </c>
      <c r="AU23" s="122" t="e">
        <f t="shared" si="36"/>
        <v>#DIV/0!</v>
      </c>
      <c r="AV23" s="122" t="e">
        <f t="shared" si="19"/>
        <v>#DIV/0!</v>
      </c>
      <c r="AW23" s="122" t="e">
        <f t="shared" si="28"/>
        <v>#DIV/0!</v>
      </c>
      <c r="AX23" s="122" t="e">
        <f t="shared" si="29"/>
        <v>#DIV/0!</v>
      </c>
      <c r="AY23" s="122" t="e">
        <f t="shared" si="30"/>
        <v>#DIV/0!</v>
      </c>
      <c r="AZ23" s="161" t="e">
        <f t="shared" si="31"/>
        <v>#DIV/0!</v>
      </c>
      <c r="BA23" s="161" t="e">
        <f t="shared" si="32"/>
        <v>#DIV/0!</v>
      </c>
      <c r="BB23" s="161" t="e">
        <f t="shared" si="33"/>
        <v>#DIV/0!</v>
      </c>
      <c r="BC23" s="161" t="e">
        <f t="shared" si="34"/>
        <v>#DIV/0!</v>
      </c>
      <c r="BD23" s="162" t="e">
        <f t="shared" si="35"/>
        <v>#DIV/0!</v>
      </c>
      <c r="BF23" s="139">
        <f t="shared" si="2"/>
        <v>0</v>
      </c>
      <c r="BG23" s="140">
        <f t="shared" si="3"/>
        <v>0</v>
      </c>
      <c r="BH23" s="140">
        <f t="shared" si="4"/>
        <v>0</v>
      </c>
      <c r="BI23" s="140">
        <f t="shared" si="5"/>
        <v>0</v>
      </c>
      <c r="BJ23" s="140">
        <f t="shared" si="6"/>
        <v>0</v>
      </c>
      <c r="BK23" s="140">
        <f t="shared" si="7"/>
        <v>0</v>
      </c>
      <c r="BL23" s="140">
        <f t="shared" si="8"/>
        <v>0</v>
      </c>
      <c r="BM23" s="140">
        <f t="shared" si="9"/>
        <v>0</v>
      </c>
      <c r="BN23" s="140">
        <f t="shared" si="10"/>
        <v>0</v>
      </c>
      <c r="BO23" s="140">
        <f t="shared" si="11"/>
        <v>0</v>
      </c>
      <c r="BP23" s="140">
        <f t="shared" si="12"/>
        <v>0</v>
      </c>
      <c r="BQ23" s="140" t="e">
        <f t="shared" si="13"/>
        <v>#DIV/0!</v>
      </c>
      <c r="BR23" s="140">
        <f t="shared" si="14"/>
        <v>30</v>
      </c>
      <c r="BS23" s="141" t="e">
        <f t="shared" si="15"/>
        <v>#DIV/0!</v>
      </c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166"/>
      <c r="AN24" s="151">
        <f t="shared" si="1"/>
        <v>0</v>
      </c>
      <c r="AO24" s="152">
        <f t="shared" si="1"/>
        <v>0</v>
      </c>
      <c r="AP24" s="153">
        <f t="shared" si="1"/>
        <v>0</v>
      </c>
      <c r="AQ24" s="152">
        <f t="shared" si="1"/>
        <v>0</v>
      </c>
      <c r="AR24" s="153">
        <f t="shared" si="1"/>
        <v>0</v>
      </c>
      <c r="AS24" s="167" t="e">
        <f t="shared" si="16"/>
        <v>#DIV/0!</v>
      </c>
      <c r="AT24" s="168" t="e">
        <f t="shared" si="17"/>
        <v>#DIV/0!</v>
      </c>
      <c r="AU24" s="168" t="e">
        <f t="shared" si="36"/>
        <v>#DIV/0!</v>
      </c>
      <c r="AV24" s="168" t="e">
        <f t="shared" si="19"/>
        <v>#DIV/0!</v>
      </c>
      <c r="AW24" s="168" t="e">
        <f t="shared" si="28"/>
        <v>#DIV/0!</v>
      </c>
      <c r="AX24" s="168" t="e">
        <f t="shared" si="29"/>
        <v>#DIV/0!</v>
      </c>
      <c r="AY24" s="168" t="e">
        <f t="shared" si="30"/>
        <v>#DIV/0!</v>
      </c>
      <c r="AZ24" s="169" t="e">
        <f t="shared" si="31"/>
        <v>#DIV/0!</v>
      </c>
      <c r="BA24" s="169" t="e">
        <f t="shared" si="32"/>
        <v>#DIV/0!</v>
      </c>
      <c r="BB24" s="169" t="e">
        <f t="shared" si="33"/>
        <v>#DIV/0!</v>
      </c>
      <c r="BC24" s="169" t="e">
        <f t="shared" si="34"/>
        <v>#DIV/0!</v>
      </c>
      <c r="BD24" s="170" t="e">
        <f t="shared" si="35"/>
        <v>#DIV/0!</v>
      </c>
      <c r="BE24" s="171"/>
      <c r="BF24" s="172">
        <f t="shared" si="2"/>
        <v>0</v>
      </c>
      <c r="BG24" s="173">
        <f t="shared" si="3"/>
        <v>0</v>
      </c>
      <c r="BH24" s="173">
        <f t="shared" si="4"/>
        <v>0</v>
      </c>
      <c r="BI24" s="173">
        <f t="shared" si="5"/>
        <v>0</v>
      </c>
      <c r="BJ24" s="173">
        <f t="shared" si="6"/>
        <v>0</v>
      </c>
      <c r="BK24" s="173">
        <f t="shared" si="7"/>
        <v>0</v>
      </c>
      <c r="BL24" s="173">
        <f t="shared" si="8"/>
        <v>0</v>
      </c>
      <c r="BM24" s="173">
        <f t="shared" si="9"/>
        <v>0</v>
      </c>
      <c r="BN24" s="173">
        <f t="shared" si="10"/>
        <v>0</v>
      </c>
      <c r="BO24" s="173">
        <f t="shared" si="11"/>
        <v>0</v>
      </c>
      <c r="BP24" s="173">
        <f t="shared" si="12"/>
        <v>0</v>
      </c>
      <c r="BQ24" s="173" t="e">
        <f t="shared" si="13"/>
        <v>#DIV/0!</v>
      </c>
      <c r="BR24" s="173">
        <f t="shared" si="14"/>
        <v>30</v>
      </c>
      <c r="BS24" s="174" t="e">
        <f t="shared" si="15"/>
        <v>#DIV/0!</v>
      </c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>
        <f t="shared" si="1"/>
        <v>0</v>
      </c>
      <c r="AO25" s="127">
        <f t="shared" si="1"/>
        <v>0</v>
      </c>
      <c r="AP25" s="128">
        <f t="shared" si="1"/>
        <v>0</v>
      </c>
      <c r="AQ25" s="127">
        <f t="shared" si="1"/>
        <v>0</v>
      </c>
      <c r="AR25" s="128">
        <f t="shared" si="1"/>
        <v>0</v>
      </c>
      <c r="AS25" s="160" t="e">
        <f t="shared" si="16"/>
        <v>#DIV/0!</v>
      </c>
      <c r="AT25" s="122" t="e">
        <f t="shared" si="17"/>
        <v>#DIV/0!</v>
      </c>
      <c r="AU25" s="122" t="e">
        <f t="shared" si="36"/>
        <v>#DIV/0!</v>
      </c>
      <c r="AV25" s="122" t="e">
        <f t="shared" si="19"/>
        <v>#DIV/0!</v>
      </c>
      <c r="AW25" s="122" t="e">
        <f t="shared" ref="AW25:AW31" si="37">(I25-J25)*20/H25</f>
        <v>#DIV/0!</v>
      </c>
      <c r="AX25" s="122" t="e">
        <f t="shared" ref="AX25:AX31" si="38">(K25-L25)*20/H25</f>
        <v>#DIV/0!</v>
      </c>
      <c r="AY25" s="122" t="e">
        <f t="shared" ref="AY25:AY31" si="39">(M25-N25)*20/H25</f>
        <v>#DIV/0!</v>
      </c>
      <c r="AZ25" s="161" t="e">
        <f t="shared" ref="AZ25:AZ31" si="40">(O25-P25)*20/H25</f>
        <v>#DIV/0!</v>
      </c>
      <c r="BA25" s="161" t="e">
        <f t="shared" ref="BA25:BA31" si="41">(Q25-R25)*20/H25</f>
        <v>#DIV/0!</v>
      </c>
      <c r="BB25" s="161" t="e">
        <f t="shared" ref="BB25:BB31" si="42">(S25-T25)*20/H25</f>
        <v>#DIV/0!</v>
      </c>
      <c r="BC25" s="161" t="e">
        <f t="shared" ref="BC25:BC31" si="43">(U25-V25)*20/H25</f>
        <v>#DIV/0!</v>
      </c>
      <c r="BD25" s="162" t="e">
        <f t="shared" ref="BD25:BD31" si="44">(W25-X25)*20/H25</f>
        <v>#DIV/0!</v>
      </c>
      <c r="BE25" s="179"/>
      <c r="BF25" s="163">
        <f t="shared" si="2"/>
        <v>0</v>
      </c>
      <c r="BG25" s="164">
        <f t="shared" si="3"/>
        <v>0</v>
      </c>
      <c r="BH25" s="164">
        <f t="shared" si="4"/>
        <v>0</v>
      </c>
      <c r="BI25" s="164">
        <f t="shared" si="5"/>
        <v>0</v>
      </c>
      <c r="BJ25" s="164">
        <f t="shared" si="6"/>
        <v>0</v>
      </c>
      <c r="BK25" s="164">
        <f t="shared" si="7"/>
        <v>0</v>
      </c>
      <c r="BL25" s="164">
        <f t="shared" si="8"/>
        <v>0</v>
      </c>
      <c r="BM25" s="164">
        <f t="shared" si="9"/>
        <v>0</v>
      </c>
      <c r="BN25" s="164">
        <f t="shared" si="10"/>
        <v>0</v>
      </c>
      <c r="BO25" s="164">
        <f t="shared" si="11"/>
        <v>0</v>
      </c>
      <c r="BP25" s="164">
        <f t="shared" si="12"/>
        <v>0</v>
      </c>
      <c r="BQ25" s="164" t="e">
        <f t="shared" si="13"/>
        <v>#DIV/0!</v>
      </c>
      <c r="BR25" s="164">
        <f t="shared" si="14"/>
        <v>30</v>
      </c>
      <c r="BS25" s="165" t="e">
        <f t="shared" si="15"/>
        <v>#DIV/0!</v>
      </c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>
        <f t="shared" si="1"/>
        <v>0</v>
      </c>
      <c r="AO26" s="127">
        <f t="shared" si="1"/>
        <v>0</v>
      </c>
      <c r="AP26" s="128">
        <f t="shared" si="1"/>
        <v>0</v>
      </c>
      <c r="AQ26" s="127">
        <f t="shared" si="1"/>
        <v>0</v>
      </c>
      <c r="AR26" s="128">
        <f t="shared" si="1"/>
        <v>0</v>
      </c>
      <c r="AS26" s="160" t="e">
        <f t="shared" si="16"/>
        <v>#DIV/0!</v>
      </c>
      <c r="AT26" s="122" t="e">
        <f t="shared" si="17"/>
        <v>#DIV/0!</v>
      </c>
      <c r="AU26" s="122" t="e">
        <f t="shared" si="36"/>
        <v>#DIV/0!</v>
      </c>
      <c r="AV26" s="122" t="e">
        <f t="shared" si="19"/>
        <v>#DIV/0!</v>
      </c>
      <c r="AW26" s="122" t="e">
        <f t="shared" si="37"/>
        <v>#DIV/0!</v>
      </c>
      <c r="AX26" s="122" t="e">
        <f t="shared" si="38"/>
        <v>#DIV/0!</v>
      </c>
      <c r="AY26" s="122" t="e">
        <f t="shared" si="39"/>
        <v>#DIV/0!</v>
      </c>
      <c r="AZ26" s="161" t="e">
        <f t="shared" si="40"/>
        <v>#DIV/0!</v>
      </c>
      <c r="BA26" s="161" t="e">
        <f t="shared" si="41"/>
        <v>#DIV/0!</v>
      </c>
      <c r="BB26" s="161" t="e">
        <f t="shared" si="42"/>
        <v>#DIV/0!</v>
      </c>
      <c r="BC26" s="161" t="e">
        <f t="shared" si="43"/>
        <v>#DIV/0!</v>
      </c>
      <c r="BD26" s="162" t="e">
        <f t="shared" si="44"/>
        <v>#DIV/0!</v>
      </c>
      <c r="BE26" s="179"/>
      <c r="BF26" s="139">
        <f t="shared" si="2"/>
        <v>0</v>
      </c>
      <c r="BG26" s="140">
        <f t="shared" si="3"/>
        <v>0</v>
      </c>
      <c r="BH26" s="140">
        <f t="shared" si="4"/>
        <v>0</v>
      </c>
      <c r="BI26" s="140">
        <f t="shared" si="5"/>
        <v>0</v>
      </c>
      <c r="BJ26" s="140">
        <f t="shared" si="6"/>
        <v>0</v>
      </c>
      <c r="BK26" s="140">
        <f t="shared" si="7"/>
        <v>0</v>
      </c>
      <c r="BL26" s="140">
        <f t="shared" si="8"/>
        <v>0</v>
      </c>
      <c r="BM26" s="140">
        <f t="shared" si="9"/>
        <v>0</v>
      </c>
      <c r="BN26" s="140">
        <f t="shared" si="10"/>
        <v>0</v>
      </c>
      <c r="BO26" s="140">
        <f t="shared" si="11"/>
        <v>0</v>
      </c>
      <c r="BP26" s="140">
        <f t="shared" si="12"/>
        <v>0</v>
      </c>
      <c r="BQ26" s="140" t="e">
        <f t="shared" si="13"/>
        <v>#DIV/0!</v>
      </c>
      <c r="BR26" s="140">
        <f t="shared" si="14"/>
        <v>30</v>
      </c>
      <c r="BS26" s="141" t="e">
        <f t="shared" si="15"/>
        <v>#DIV/0!</v>
      </c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>
        <f t="shared" si="1"/>
        <v>0</v>
      </c>
      <c r="AO27" s="127">
        <f t="shared" si="1"/>
        <v>0</v>
      </c>
      <c r="AP27" s="128">
        <f t="shared" si="1"/>
        <v>0</v>
      </c>
      <c r="AQ27" s="127">
        <f t="shared" si="1"/>
        <v>0</v>
      </c>
      <c r="AR27" s="128">
        <f t="shared" si="1"/>
        <v>0</v>
      </c>
      <c r="AS27" s="160" t="e">
        <f t="shared" si="16"/>
        <v>#DIV/0!</v>
      </c>
      <c r="AT27" s="122" t="e">
        <f t="shared" si="17"/>
        <v>#DIV/0!</v>
      </c>
      <c r="AU27" s="122" t="e">
        <f t="shared" si="36"/>
        <v>#DIV/0!</v>
      </c>
      <c r="AV27" s="122" t="e">
        <f t="shared" si="19"/>
        <v>#DIV/0!</v>
      </c>
      <c r="AW27" s="122" t="e">
        <f t="shared" si="37"/>
        <v>#DIV/0!</v>
      </c>
      <c r="AX27" s="122" t="e">
        <f t="shared" si="38"/>
        <v>#DIV/0!</v>
      </c>
      <c r="AY27" s="122" t="e">
        <f t="shared" si="39"/>
        <v>#DIV/0!</v>
      </c>
      <c r="AZ27" s="161" t="e">
        <f t="shared" si="40"/>
        <v>#DIV/0!</v>
      </c>
      <c r="BA27" s="161" t="e">
        <f t="shared" si="41"/>
        <v>#DIV/0!</v>
      </c>
      <c r="BB27" s="161" t="e">
        <f t="shared" si="42"/>
        <v>#DIV/0!</v>
      </c>
      <c r="BC27" s="161" t="e">
        <f t="shared" si="43"/>
        <v>#DIV/0!</v>
      </c>
      <c r="BD27" s="162" t="e">
        <f t="shared" si="44"/>
        <v>#DIV/0!</v>
      </c>
      <c r="BE27" s="179"/>
      <c r="BF27" s="139">
        <f t="shared" si="2"/>
        <v>0</v>
      </c>
      <c r="BG27" s="140">
        <f t="shared" si="3"/>
        <v>0</v>
      </c>
      <c r="BH27" s="140">
        <f t="shared" si="4"/>
        <v>0</v>
      </c>
      <c r="BI27" s="140">
        <f t="shared" si="5"/>
        <v>0</v>
      </c>
      <c r="BJ27" s="140">
        <f t="shared" si="6"/>
        <v>0</v>
      </c>
      <c r="BK27" s="140">
        <f t="shared" si="7"/>
        <v>0</v>
      </c>
      <c r="BL27" s="140">
        <f t="shared" si="8"/>
        <v>0</v>
      </c>
      <c r="BM27" s="140">
        <f t="shared" si="9"/>
        <v>0</v>
      </c>
      <c r="BN27" s="140">
        <f t="shared" si="10"/>
        <v>0</v>
      </c>
      <c r="BO27" s="140">
        <f t="shared" si="11"/>
        <v>0</v>
      </c>
      <c r="BP27" s="140">
        <f t="shared" si="12"/>
        <v>0</v>
      </c>
      <c r="BQ27" s="140" t="e">
        <f t="shared" si="13"/>
        <v>#DIV/0!</v>
      </c>
      <c r="BR27" s="140">
        <f t="shared" si="14"/>
        <v>30</v>
      </c>
      <c r="BS27" s="141" t="e">
        <f t="shared" si="15"/>
        <v>#DIV/0!</v>
      </c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>
        <f t="shared" si="1"/>
        <v>0</v>
      </c>
      <c r="AO28" s="127">
        <f t="shared" si="1"/>
        <v>0</v>
      </c>
      <c r="AP28" s="128">
        <f t="shared" si="1"/>
        <v>0</v>
      </c>
      <c r="AQ28" s="127">
        <f t="shared" si="1"/>
        <v>0</v>
      </c>
      <c r="AR28" s="128">
        <f t="shared" si="1"/>
        <v>0</v>
      </c>
      <c r="AS28" s="160" t="e">
        <f t="shared" si="16"/>
        <v>#DIV/0!</v>
      </c>
      <c r="AT28" s="122" t="e">
        <f t="shared" si="17"/>
        <v>#DIV/0!</v>
      </c>
      <c r="AU28" s="122" t="e">
        <f t="shared" si="36"/>
        <v>#DIV/0!</v>
      </c>
      <c r="AV28" s="122" t="e">
        <f t="shared" si="19"/>
        <v>#DIV/0!</v>
      </c>
      <c r="AW28" s="122" t="e">
        <f t="shared" si="37"/>
        <v>#DIV/0!</v>
      </c>
      <c r="AX28" s="122" t="e">
        <f t="shared" si="38"/>
        <v>#DIV/0!</v>
      </c>
      <c r="AY28" s="122" t="e">
        <f t="shared" si="39"/>
        <v>#DIV/0!</v>
      </c>
      <c r="AZ28" s="161" t="e">
        <f t="shared" si="40"/>
        <v>#DIV/0!</v>
      </c>
      <c r="BA28" s="161" t="e">
        <f t="shared" si="41"/>
        <v>#DIV/0!</v>
      </c>
      <c r="BB28" s="161" t="e">
        <f t="shared" si="42"/>
        <v>#DIV/0!</v>
      </c>
      <c r="BC28" s="161" t="e">
        <f t="shared" si="43"/>
        <v>#DIV/0!</v>
      </c>
      <c r="BD28" s="162" t="e">
        <f t="shared" si="44"/>
        <v>#DIV/0!</v>
      </c>
      <c r="BE28" s="179"/>
      <c r="BF28" s="139">
        <f t="shared" si="2"/>
        <v>0</v>
      </c>
      <c r="BG28" s="140">
        <f t="shared" si="3"/>
        <v>0</v>
      </c>
      <c r="BH28" s="140">
        <f t="shared" si="4"/>
        <v>0</v>
      </c>
      <c r="BI28" s="140">
        <f t="shared" si="5"/>
        <v>0</v>
      </c>
      <c r="BJ28" s="140">
        <f t="shared" si="6"/>
        <v>0</v>
      </c>
      <c r="BK28" s="140">
        <f t="shared" si="7"/>
        <v>0</v>
      </c>
      <c r="BL28" s="140">
        <f t="shared" si="8"/>
        <v>0</v>
      </c>
      <c r="BM28" s="140">
        <f t="shared" si="9"/>
        <v>0</v>
      </c>
      <c r="BN28" s="140">
        <f t="shared" si="10"/>
        <v>0</v>
      </c>
      <c r="BO28" s="140">
        <f t="shared" si="11"/>
        <v>0</v>
      </c>
      <c r="BP28" s="140">
        <f t="shared" si="12"/>
        <v>0</v>
      </c>
      <c r="BQ28" s="140" t="e">
        <f t="shared" si="13"/>
        <v>#DIV/0!</v>
      </c>
      <c r="BR28" s="140">
        <f t="shared" si="14"/>
        <v>30</v>
      </c>
      <c r="BS28" s="141" t="e">
        <f t="shared" si="15"/>
        <v>#DIV/0!</v>
      </c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>
        <f t="shared" si="1"/>
        <v>0</v>
      </c>
      <c r="AO29" s="127">
        <f t="shared" si="1"/>
        <v>0</v>
      </c>
      <c r="AP29" s="128">
        <f t="shared" si="1"/>
        <v>0</v>
      </c>
      <c r="AQ29" s="127">
        <f t="shared" si="1"/>
        <v>0</v>
      </c>
      <c r="AR29" s="128">
        <f t="shared" si="1"/>
        <v>0</v>
      </c>
      <c r="AS29" s="160" t="e">
        <f t="shared" si="16"/>
        <v>#DIV/0!</v>
      </c>
      <c r="AT29" s="122" t="e">
        <f t="shared" si="17"/>
        <v>#DIV/0!</v>
      </c>
      <c r="AU29" s="122" t="e">
        <f t="shared" si="36"/>
        <v>#DIV/0!</v>
      </c>
      <c r="AV29" s="122" t="e">
        <f t="shared" si="19"/>
        <v>#DIV/0!</v>
      </c>
      <c r="AW29" s="122" t="e">
        <f t="shared" si="37"/>
        <v>#DIV/0!</v>
      </c>
      <c r="AX29" s="122" t="e">
        <f t="shared" si="38"/>
        <v>#DIV/0!</v>
      </c>
      <c r="AY29" s="122" t="e">
        <f t="shared" si="39"/>
        <v>#DIV/0!</v>
      </c>
      <c r="AZ29" s="161" t="e">
        <f t="shared" si="40"/>
        <v>#DIV/0!</v>
      </c>
      <c r="BA29" s="161" t="e">
        <f t="shared" si="41"/>
        <v>#DIV/0!</v>
      </c>
      <c r="BB29" s="161" t="e">
        <f t="shared" si="42"/>
        <v>#DIV/0!</v>
      </c>
      <c r="BC29" s="161" t="e">
        <f t="shared" si="43"/>
        <v>#DIV/0!</v>
      </c>
      <c r="BD29" s="162" t="e">
        <f t="shared" si="44"/>
        <v>#DIV/0!</v>
      </c>
      <c r="BE29" s="179"/>
      <c r="BF29" s="139">
        <f t="shared" si="2"/>
        <v>0</v>
      </c>
      <c r="BG29" s="140">
        <f t="shared" si="3"/>
        <v>0</v>
      </c>
      <c r="BH29" s="140">
        <f t="shared" si="4"/>
        <v>0</v>
      </c>
      <c r="BI29" s="140">
        <f t="shared" si="5"/>
        <v>0</v>
      </c>
      <c r="BJ29" s="140">
        <f t="shared" si="6"/>
        <v>0</v>
      </c>
      <c r="BK29" s="140">
        <f t="shared" si="7"/>
        <v>0</v>
      </c>
      <c r="BL29" s="140">
        <f t="shared" si="8"/>
        <v>0</v>
      </c>
      <c r="BM29" s="140">
        <f t="shared" si="9"/>
        <v>0</v>
      </c>
      <c r="BN29" s="140">
        <f t="shared" si="10"/>
        <v>0</v>
      </c>
      <c r="BO29" s="140">
        <f t="shared" si="11"/>
        <v>0</v>
      </c>
      <c r="BP29" s="140">
        <f t="shared" si="12"/>
        <v>0</v>
      </c>
      <c r="BQ29" s="140" t="e">
        <f t="shared" si="13"/>
        <v>#DIV/0!</v>
      </c>
      <c r="BR29" s="140">
        <f t="shared" si="14"/>
        <v>30</v>
      </c>
      <c r="BS29" s="141" t="e">
        <f t="shared" si="15"/>
        <v>#DIV/0!</v>
      </c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>
        <f t="shared" si="1"/>
        <v>0</v>
      </c>
      <c r="AO30" s="127">
        <f t="shared" si="1"/>
        <v>0</v>
      </c>
      <c r="AP30" s="128">
        <f t="shared" si="1"/>
        <v>0</v>
      </c>
      <c r="AQ30" s="127">
        <f t="shared" si="1"/>
        <v>0</v>
      </c>
      <c r="AR30" s="128">
        <f t="shared" si="1"/>
        <v>0</v>
      </c>
      <c r="AS30" s="160" t="e">
        <f t="shared" si="16"/>
        <v>#DIV/0!</v>
      </c>
      <c r="AT30" s="122" t="e">
        <f t="shared" si="17"/>
        <v>#DIV/0!</v>
      </c>
      <c r="AU30" s="122" t="e">
        <f t="shared" si="36"/>
        <v>#DIV/0!</v>
      </c>
      <c r="AV30" s="122" t="e">
        <f t="shared" si="19"/>
        <v>#DIV/0!</v>
      </c>
      <c r="AW30" s="122" t="e">
        <f t="shared" si="37"/>
        <v>#DIV/0!</v>
      </c>
      <c r="AX30" s="122" t="e">
        <f t="shared" si="38"/>
        <v>#DIV/0!</v>
      </c>
      <c r="AY30" s="122" t="e">
        <f t="shared" si="39"/>
        <v>#DIV/0!</v>
      </c>
      <c r="AZ30" s="161" t="e">
        <f t="shared" si="40"/>
        <v>#DIV/0!</v>
      </c>
      <c r="BA30" s="161" t="e">
        <f t="shared" si="41"/>
        <v>#DIV/0!</v>
      </c>
      <c r="BB30" s="161" t="e">
        <f t="shared" si="42"/>
        <v>#DIV/0!</v>
      </c>
      <c r="BC30" s="161" t="e">
        <f t="shared" si="43"/>
        <v>#DIV/0!</v>
      </c>
      <c r="BD30" s="162" t="e">
        <f t="shared" si="44"/>
        <v>#DIV/0!</v>
      </c>
      <c r="BE30" s="179"/>
      <c r="BF30" s="139">
        <f t="shared" si="2"/>
        <v>0</v>
      </c>
      <c r="BG30" s="140">
        <f t="shared" si="3"/>
        <v>0</v>
      </c>
      <c r="BH30" s="140">
        <f t="shared" si="4"/>
        <v>0</v>
      </c>
      <c r="BI30" s="140">
        <f t="shared" si="5"/>
        <v>0</v>
      </c>
      <c r="BJ30" s="140">
        <f t="shared" si="6"/>
        <v>0</v>
      </c>
      <c r="BK30" s="140">
        <f t="shared" si="7"/>
        <v>0</v>
      </c>
      <c r="BL30" s="140">
        <f t="shared" si="8"/>
        <v>0</v>
      </c>
      <c r="BM30" s="140">
        <f t="shared" si="9"/>
        <v>0</v>
      </c>
      <c r="BN30" s="140">
        <f t="shared" si="10"/>
        <v>0</v>
      </c>
      <c r="BO30" s="140">
        <f t="shared" si="11"/>
        <v>0</v>
      </c>
      <c r="BP30" s="140">
        <f t="shared" si="12"/>
        <v>0</v>
      </c>
      <c r="BQ30" s="140" t="e">
        <f t="shared" si="13"/>
        <v>#DIV/0!</v>
      </c>
      <c r="BR30" s="140">
        <f t="shared" si="14"/>
        <v>30</v>
      </c>
      <c r="BS30" s="141" t="e">
        <f t="shared" si="15"/>
        <v>#DIV/0!</v>
      </c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>
        <f t="shared" si="1"/>
        <v>0</v>
      </c>
      <c r="AO31" s="152">
        <f t="shared" si="1"/>
        <v>0</v>
      </c>
      <c r="AP31" s="153">
        <f t="shared" si="1"/>
        <v>0</v>
      </c>
      <c r="AQ31" s="152">
        <f t="shared" si="1"/>
        <v>0</v>
      </c>
      <c r="AR31" s="153">
        <f t="shared" si="1"/>
        <v>0</v>
      </c>
      <c r="AS31" s="183" t="e">
        <f t="shared" si="16"/>
        <v>#DIV/0!</v>
      </c>
      <c r="AT31" s="148" t="e">
        <f t="shared" si="17"/>
        <v>#DIV/0!</v>
      </c>
      <c r="AU31" s="148" t="e">
        <f t="shared" si="36"/>
        <v>#DIV/0!</v>
      </c>
      <c r="AV31" s="148" t="e">
        <f t="shared" si="19"/>
        <v>#DIV/0!</v>
      </c>
      <c r="AW31" s="148" t="e">
        <f t="shared" si="37"/>
        <v>#DIV/0!</v>
      </c>
      <c r="AX31" s="148" t="e">
        <f t="shared" si="38"/>
        <v>#DIV/0!</v>
      </c>
      <c r="AY31" s="148" t="e">
        <f t="shared" si="39"/>
        <v>#DIV/0!</v>
      </c>
      <c r="AZ31" s="184" t="e">
        <f t="shared" si="40"/>
        <v>#DIV/0!</v>
      </c>
      <c r="BA31" s="184" t="e">
        <f t="shared" si="41"/>
        <v>#DIV/0!</v>
      </c>
      <c r="BB31" s="184" t="e">
        <f t="shared" si="42"/>
        <v>#DIV/0!</v>
      </c>
      <c r="BC31" s="184" t="e">
        <f t="shared" si="43"/>
        <v>#DIV/0!</v>
      </c>
      <c r="BD31" s="185" t="e">
        <f t="shared" si="44"/>
        <v>#DIV/0!</v>
      </c>
      <c r="BE31" s="179"/>
      <c r="BF31" s="139">
        <f t="shared" si="2"/>
        <v>0</v>
      </c>
      <c r="BG31" s="140">
        <f t="shared" si="3"/>
        <v>0</v>
      </c>
      <c r="BH31" s="140">
        <f t="shared" si="4"/>
        <v>0</v>
      </c>
      <c r="BI31" s="140">
        <f t="shared" si="5"/>
        <v>0</v>
      </c>
      <c r="BJ31" s="140">
        <f t="shared" si="6"/>
        <v>0</v>
      </c>
      <c r="BK31" s="140">
        <f t="shared" si="7"/>
        <v>0</v>
      </c>
      <c r="BL31" s="140">
        <f t="shared" si="8"/>
        <v>0</v>
      </c>
      <c r="BM31" s="140">
        <f t="shared" si="9"/>
        <v>0</v>
      </c>
      <c r="BN31" s="140">
        <f t="shared" si="10"/>
        <v>0</v>
      </c>
      <c r="BO31" s="140">
        <f t="shared" si="11"/>
        <v>0</v>
      </c>
      <c r="BP31" s="140">
        <f t="shared" si="12"/>
        <v>0</v>
      </c>
      <c r="BQ31" s="140" t="e">
        <f t="shared" si="13"/>
        <v>#DIV/0!</v>
      </c>
      <c r="BR31" s="140">
        <f t="shared" si="14"/>
        <v>30</v>
      </c>
      <c r="BS31" s="141" t="e">
        <f t="shared" si="15"/>
        <v>#DIV/0!</v>
      </c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>
        <f t="shared" si="1"/>
        <v>0</v>
      </c>
      <c r="AO32" s="127">
        <f t="shared" si="1"/>
        <v>0</v>
      </c>
      <c r="AP32" s="128">
        <f t="shared" si="1"/>
        <v>0</v>
      </c>
      <c r="AQ32" s="127">
        <f t="shared" si="1"/>
        <v>0</v>
      </c>
      <c r="AR32" s="128">
        <f t="shared" si="1"/>
        <v>0</v>
      </c>
      <c r="AS32" s="160" t="e">
        <f t="shared" si="16"/>
        <v>#DIV/0!</v>
      </c>
      <c r="AT32" s="122" t="e">
        <f t="shared" si="17"/>
        <v>#DIV/0!</v>
      </c>
      <c r="AU32" s="122" t="e">
        <f t="shared" si="36"/>
        <v>#DIV/0!</v>
      </c>
      <c r="AV32" s="122" t="e">
        <f t="shared" si="19"/>
        <v>#DIV/0!</v>
      </c>
      <c r="AW32" s="122" t="e">
        <f t="shared" ref="AW32:AW38" si="45">(I32-J32)*40/H32</f>
        <v>#DIV/0!</v>
      </c>
      <c r="AX32" s="122" t="e">
        <f t="shared" ref="AX32:AX38" si="46">(K32-L32)*40/H32</f>
        <v>#DIV/0!</v>
      </c>
      <c r="AY32" s="122" t="e">
        <f t="shared" ref="AY32:AY38" si="47">(M32-N32)*40/H32</f>
        <v>#DIV/0!</v>
      </c>
      <c r="AZ32" s="161" t="e">
        <f t="shared" ref="AZ32:AZ38" si="48">(O32-P32)*40/H32</f>
        <v>#DIV/0!</v>
      </c>
      <c r="BA32" s="161" t="e">
        <f t="shared" ref="BA32:BA38" si="49">(Q32-R32)*40/H32</f>
        <v>#DIV/0!</v>
      </c>
      <c r="BB32" s="161" t="e">
        <f t="shared" ref="BB32:BB38" si="50">(S32-T32)*40/H32</f>
        <v>#DIV/0!</v>
      </c>
      <c r="BC32" s="161" t="e">
        <f t="shared" ref="BC32:BC38" si="51">(U32-V32)*40/H32</f>
        <v>#DIV/0!</v>
      </c>
      <c r="BD32" s="162" t="e">
        <f t="shared" ref="BD32:BD38" si="52">(W32-X32)*40/H32</f>
        <v>#DIV/0!</v>
      </c>
      <c r="BE32" s="179"/>
      <c r="BF32" s="139">
        <f t="shared" si="2"/>
        <v>0</v>
      </c>
      <c r="BG32" s="140">
        <f t="shared" si="3"/>
        <v>0</v>
      </c>
      <c r="BH32" s="140">
        <f t="shared" si="4"/>
        <v>0</v>
      </c>
      <c r="BI32" s="140">
        <f t="shared" si="5"/>
        <v>0</v>
      </c>
      <c r="BJ32" s="140">
        <f t="shared" si="6"/>
        <v>0</v>
      </c>
      <c r="BK32" s="140">
        <f t="shared" si="7"/>
        <v>0</v>
      </c>
      <c r="BL32" s="140">
        <f t="shared" si="8"/>
        <v>0</v>
      </c>
      <c r="BM32" s="140">
        <f t="shared" si="9"/>
        <v>0</v>
      </c>
      <c r="BN32" s="140">
        <f t="shared" si="10"/>
        <v>0</v>
      </c>
      <c r="BO32" s="140">
        <f t="shared" si="11"/>
        <v>0</v>
      </c>
      <c r="BP32" s="140">
        <f t="shared" si="12"/>
        <v>0</v>
      </c>
      <c r="BQ32" s="140" t="e">
        <f t="shared" si="13"/>
        <v>#DIV/0!</v>
      </c>
      <c r="BR32" s="140">
        <f t="shared" si="14"/>
        <v>30</v>
      </c>
      <c r="BS32" s="141" t="e">
        <f t="shared" si="15"/>
        <v>#DIV/0!</v>
      </c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>
        <f t="shared" si="1"/>
        <v>0</v>
      </c>
      <c r="AO33" s="127">
        <f t="shared" si="1"/>
        <v>0</v>
      </c>
      <c r="AP33" s="128">
        <f t="shared" si="1"/>
        <v>0</v>
      </c>
      <c r="AQ33" s="127">
        <f t="shared" si="1"/>
        <v>0</v>
      </c>
      <c r="AR33" s="128">
        <f t="shared" si="1"/>
        <v>0</v>
      </c>
      <c r="AS33" s="160" t="e">
        <f t="shared" si="16"/>
        <v>#DIV/0!</v>
      </c>
      <c r="AT33" s="122" t="e">
        <f t="shared" si="17"/>
        <v>#DIV/0!</v>
      </c>
      <c r="AU33" s="122" t="e">
        <f t="shared" si="36"/>
        <v>#DIV/0!</v>
      </c>
      <c r="AV33" s="122" t="e">
        <f t="shared" si="19"/>
        <v>#DIV/0!</v>
      </c>
      <c r="AW33" s="122" t="e">
        <f t="shared" si="45"/>
        <v>#DIV/0!</v>
      </c>
      <c r="AX33" s="122" t="e">
        <f t="shared" si="46"/>
        <v>#DIV/0!</v>
      </c>
      <c r="AY33" s="122" t="e">
        <f t="shared" si="47"/>
        <v>#DIV/0!</v>
      </c>
      <c r="AZ33" s="161" t="e">
        <f t="shared" si="48"/>
        <v>#DIV/0!</v>
      </c>
      <c r="BA33" s="161" t="e">
        <f t="shared" si="49"/>
        <v>#DIV/0!</v>
      </c>
      <c r="BB33" s="161" t="e">
        <f t="shared" si="50"/>
        <v>#DIV/0!</v>
      </c>
      <c r="BC33" s="161" t="e">
        <f t="shared" si="51"/>
        <v>#DIV/0!</v>
      </c>
      <c r="BD33" s="162" t="e">
        <f t="shared" si="52"/>
        <v>#DIV/0!</v>
      </c>
      <c r="BE33" s="179"/>
      <c r="BF33" s="139">
        <f t="shared" si="2"/>
        <v>0</v>
      </c>
      <c r="BG33" s="140">
        <f t="shared" si="3"/>
        <v>0</v>
      </c>
      <c r="BH33" s="140">
        <f t="shared" si="4"/>
        <v>0</v>
      </c>
      <c r="BI33" s="140">
        <f t="shared" si="5"/>
        <v>0</v>
      </c>
      <c r="BJ33" s="140">
        <f t="shared" si="6"/>
        <v>0</v>
      </c>
      <c r="BK33" s="140">
        <f t="shared" si="7"/>
        <v>0</v>
      </c>
      <c r="BL33" s="140">
        <f t="shared" si="8"/>
        <v>0</v>
      </c>
      <c r="BM33" s="140">
        <f t="shared" si="9"/>
        <v>0</v>
      </c>
      <c r="BN33" s="140">
        <f t="shared" si="10"/>
        <v>0</v>
      </c>
      <c r="BO33" s="140">
        <f t="shared" si="11"/>
        <v>0</v>
      </c>
      <c r="BP33" s="140">
        <f t="shared" si="12"/>
        <v>0</v>
      </c>
      <c r="BQ33" s="140" t="e">
        <f t="shared" si="13"/>
        <v>#DIV/0!</v>
      </c>
      <c r="BR33" s="140">
        <f t="shared" si="14"/>
        <v>30</v>
      </c>
      <c r="BS33" s="141" t="e">
        <f t="shared" si="15"/>
        <v>#DIV/0!</v>
      </c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>
        <f t="shared" si="1"/>
        <v>0</v>
      </c>
      <c r="AO34" s="127">
        <f t="shared" si="1"/>
        <v>0</v>
      </c>
      <c r="AP34" s="128">
        <f t="shared" si="1"/>
        <v>0</v>
      </c>
      <c r="AQ34" s="127">
        <f t="shared" si="1"/>
        <v>0</v>
      </c>
      <c r="AR34" s="128">
        <f t="shared" si="1"/>
        <v>0</v>
      </c>
      <c r="AS34" s="160" t="e">
        <f t="shared" si="16"/>
        <v>#DIV/0!</v>
      </c>
      <c r="AT34" s="122" t="e">
        <f t="shared" si="17"/>
        <v>#DIV/0!</v>
      </c>
      <c r="AU34" s="122" t="e">
        <f t="shared" si="36"/>
        <v>#DIV/0!</v>
      </c>
      <c r="AV34" s="122" t="e">
        <f t="shared" si="19"/>
        <v>#DIV/0!</v>
      </c>
      <c r="AW34" s="122" t="e">
        <f t="shared" si="45"/>
        <v>#DIV/0!</v>
      </c>
      <c r="AX34" s="122" t="e">
        <f t="shared" si="46"/>
        <v>#DIV/0!</v>
      </c>
      <c r="AY34" s="122" t="e">
        <f t="shared" si="47"/>
        <v>#DIV/0!</v>
      </c>
      <c r="AZ34" s="161" t="e">
        <f t="shared" si="48"/>
        <v>#DIV/0!</v>
      </c>
      <c r="BA34" s="161" t="e">
        <f t="shared" si="49"/>
        <v>#DIV/0!</v>
      </c>
      <c r="BB34" s="161" t="e">
        <f t="shared" si="50"/>
        <v>#DIV/0!</v>
      </c>
      <c r="BC34" s="161" t="e">
        <f t="shared" si="51"/>
        <v>#DIV/0!</v>
      </c>
      <c r="BD34" s="162" t="e">
        <f t="shared" si="52"/>
        <v>#DIV/0!</v>
      </c>
      <c r="BE34" s="179"/>
      <c r="BF34" s="139">
        <f t="shared" si="2"/>
        <v>0</v>
      </c>
      <c r="BG34" s="140">
        <f t="shared" si="3"/>
        <v>0</v>
      </c>
      <c r="BH34" s="140">
        <f t="shared" si="4"/>
        <v>0</v>
      </c>
      <c r="BI34" s="140">
        <f t="shared" si="5"/>
        <v>0</v>
      </c>
      <c r="BJ34" s="140">
        <f t="shared" si="6"/>
        <v>0</v>
      </c>
      <c r="BK34" s="140">
        <f t="shared" si="7"/>
        <v>0</v>
      </c>
      <c r="BL34" s="140">
        <f t="shared" si="8"/>
        <v>0</v>
      </c>
      <c r="BM34" s="140">
        <f t="shared" si="9"/>
        <v>0</v>
      </c>
      <c r="BN34" s="140">
        <f t="shared" si="10"/>
        <v>0</v>
      </c>
      <c r="BO34" s="140">
        <f t="shared" si="11"/>
        <v>0</v>
      </c>
      <c r="BP34" s="140">
        <f t="shared" si="12"/>
        <v>0</v>
      </c>
      <c r="BQ34" s="140" t="e">
        <f t="shared" si="13"/>
        <v>#DIV/0!</v>
      </c>
      <c r="BR34" s="140">
        <f t="shared" si="14"/>
        <v>30</v>
      </c>
      <c r="BS34" s="141" t="e">
        <f t="shared" si="15"/>
        <v>#DIV/0!</v>
      </c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>
        <f t="shared" si="1"/>
        <v>0</v>
      </c>
      <c r="AO35" s="127">
        <f t="shared" si="1"/>
        <v>0</v>
      </c>
      <c r="AP35" s="128">
        <f t="shared" si="1"/>
        <v>0</v>
      </c>
      <c r="AQ35" s="127">
        <f t="shared" si="1"/>
        <v>0</v>
      </c>
      <c r="AR35" s="128">
        <f t="shared" si="1"/>
        <v>0</v>
      </c>
      <c r="AS35" s="160" t="e">
        <f t="shared" si="16"/>
        <v>#DIV/0!</v>
      </c>
      <c r="AT35" s="122" t="e">
        <f t="shared" si="17"/>
        <v>#DIV/0!</v>
      </c>
      <c r="AU35" s="122" t="e">
        <f t="shared" si="36"/>
        <v>#DIV/0!</v>
      </c>
      <c r="AV35" s="122" t="e">
        <f t="shared" si="19"/>
        <v>#DIV/0!</v>
      </c>
      <c r="AW35" s="122" t="e">
        <f t="shared" si="45"/>
        <v>#DIV/0!</v>
      </c>
      <c r="AX35" s="122" t="e">
        <f t="shared" si="46"/>
        <v>#DIV/0!</v>
      </c>
      <c r="AY35" s="122" t="e">
        <f t="shared" si="47"/>
        <v>#DIV/0!</v>
      </c>
      <c r="AZ35" s="161" t="e">
        <f t="shared" si="48"/>
        <v>#DIV/0!</v>
      </c>
      <c r="BA35" s="161" t="e">
        <f t="shared" si="49"/>
        <v>#DIV/0!</v>
      </c>
      <c r="BB35" s="161" t="e">
        <f t="shared" si="50"/>
        <v>#DIV/0!</v>
      </c>
      <c r="BC35" s="161" t="e">
        <f t="shared" si="51"/>
        <v>#DIV/0!</v>
      </c>
      <c r="BD35" s="162" t="e">
        <f t="shared" si="52"/>
        <v>#DIV/0!</v>
      </c>
      <c r="BE35" s="179"/>
      <c r="BF35" s="139">
        <f t="shared" si="2"/>
        <v>0</v>
      </c>
      <c r="BG35" s="140">
        <f t="shared" si="3"/>
        <v>0</v>
      </c>
      <c r="BH35" s="140">
        <f t="shared" si="4"/>
        <v>0</v>
      </c>
      <c r="BI35" s="140">
        <f t="shared" si="5"/>
        <v>0</v>
      </c>
      <c r="BJ35" s="140">
        <f t="shared" si="6"/>
        <v>0</v>
      </c>
      <c r="BK35" s="140">
        <f t="shared" si="7"/>
        <v>0</v>
      </c>
      <c r="BL35" s="140">
        <f t="shared" si="8"/>
        <v>0</v>
      </c>
      <c r="BM35" s="140">
        <f t="shared" si="9"/>
        <v>0</v>
      </c>
      <c r="BN35" s="140">
        <f t="shared" si="10"/>
        <v>0</v>
      </c>
      <c r="BO35" s="140">
        <f t="shared" si="11"/>
        <v>0</v>
      </c>
      <c r="BP35" s="140">
        <f t="shared" si="12"/>
        <v>0</v>
      </c>
      <c r="BQ35" s="140" t="e">
        <f t="shared" si="13"/>
        <v>#DIV/0!</v>
      </c>
      <c r="BR35" s="140">
        <f t="shared" si="14"/>
        <v>30</v>
      </c>
      <c r="BS35" s="141" t="e">
        <f t="shared" si="15"/>
        <v>#DIV/0!</v>
      </c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>
        <f t="shared" si="1"/>
        <v>0</v>
      </c>
      <c r="AO36" s="127">
        <f t="shared" si="1"/>
        <v>0</v>
      </c>
      <c r="AP36" s="128">
        <f t="shared" si="1"/>
        <v>0</v>
      </c>
      <c r="AQ36" s="127">
        <f t="shared" si="1"/>
        <v>0</v>
      </c>
      <c r="AR36" s="128">
        <f t="shared" si="1"/>
        <v>0</v>
      </c>
      <c r="AS36" s="160" t="e">
        <f t="shared" si="16"/>
        <v>#DIV/0!</v>
      </c>
      <c r="AT36" s="122" t="e">
        <f t="shared" si="17"/>
        <v>#DIV/0!</v>
      </c>
      <c r="AU36" s="122" t="e">
        <f t="shared" si="36"/>
        <v>#DIV/0!</v>
      </c>
      <c r="AV36" s="122" t="e">
        <f t="shared" si="19"/>
        <v>#DIV/0!</v>
      </c>
      <c r="AW36" s="122" t="e">
        <f t="shared" si="45"/>
        <v>#DIV/0!</v>
      </c>
      <c r="AX36" s="122" t="e">
        <f t="shared" si="46"/>
        <v>#DIV/0!</v>
      </c>
      <c r="AY36" s="122" t="e">
        <f t="shared" si="47"/>
        <v>#DIV/0!</v>
      </c>
      <c r="AZ36" s="161" t="e">
        <f t="shared" si="48"/>
        <v>#DIV/0!</v>
      </c>
      <c r="BA36" s="161" t="e">
        <f t="shared" si="49"/>
        <v>#DIV/0!</v>
      </c>
      <c r="BB36" s="161" t="e">
        <f t="shared" si="50"/>
        <v>#DIV/0!</v>
      </c>
      <c r="BC36" s="161" t="e">
        <f t="shared" si="51"/>
        <v>#DIV/0!</v>
      </c>
      <c r="BD36" s="162" t="e">
        <f t="shared" si="52"/>
        <v>#DIV/0!</v>
      </c>
      <c r="BE36" s="179"/>
      <c r="BF36" s="139">
        <f t="shared" si="2"/>
        <v>0</v>
      </c>
      <c r="BG36" s="140">
        <f t="shared" si="3"/>
        <v>0</v>
      </c>
      <c r="BH36" s="140">
        <f t="shared" si="4"/>
        <v>0</v>
      </c>
      <c r="BI36" s="140">
        <f t="shared" si="5"/>
        <v>0</v>
      </c>
      <c r="BJ36" s="140">
        <f t="shared" si="6"/>
        <v>0</v>
      </c>
      <c r="BK36" s="140">
        <f t="shared" si="7"/>
        <v>0</v>
      </c>
      <c r="BL36" s="140">
        <f t="shared" si="8"/>
        <v>0</v>
      </c>
      <c r="BM36" s="140">
        <f t="shared" si="9"/>
        <v>0</v>
      </c>
      <c r="BN36" s="140">
        <f t="shared" si="10"/>
        <v>0</v>
      </c>
      <c r="BO36" s="140">
        <f t="shared" si="11"/>
        <v>0</v>
      </c>
      <c r="BP36" s="140">
        <f t="shared" si="12"/>
        <v>0</v>
      </c>
      <c r="BQ36" s="140" t="e">
        <f t="shared" si="13"/>
        <v>#DIV/0!</v>
      </c>
      <c r="BR36" s="140">
        <f t="shared" si="14"/>
        <v>30</v>
      </c>
      <c r="BS36" s="141" t="e">
        <f t="shared" si="15"/>
        <v>#DIV/0!</v>
      </c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>
        <f t="shared" si="1"/>
        <v>0</v>
      </c>
      <c r="AO37" s="127">
        <f t="shared" si="1"/>
        <v>0</v>
      </c>
      <c r="AP37" s="128">
        <f t="shared" si="1"/>
        <v>0</v>
      </c>
      <c r="AQ37" s="127">
        <f t="shared" si="1"/>
        <v>0</v>
      </c>
      <c r="AR37" s="128">
        <f t="shared" si="1"/>
        <v>0</v>
      </c>
      <c r="AS37" s="160" t="e">
        <f t="shared" si="16"/>
        <v>#DIV/0!</v>
      </c>
      <c r="AT37" s="122" t="e">
        <f t="shared" si="17"/>
        <v>#DIV/0!</v>
      </c>
      <c r="AU37" s="122" t="e">
        <f t="shared" si="36"/>
        <v>#DIV/0!</v>
      </c>
      <c r="AV37" s="122" t="e">
        <f t="shared" si="19"/>
        <v>#DIV/0!</v>
      </c>
      <c r="AW37" s="122" t="e">
        <f t="shared" si="45"/>
        <v>#DIV/0!</v>
      </c>
      <c r="AX37" s="122" t="e">
        <f t="shared" si="46"/>
        <v>#DIV/0!</v>
      </c>
      <c r="AY37" s="122" t="e">
        <f t="shared" si="47"/>
        <v>#DIV/0!</v>
      </c>
      <c r="AZ37" s="161" t="e">
        <f t="shared" si="48"/>
        <v>#DIV/0!</v>
      </c>
      <c r="BA37" s="161" t="e">
        <f t="shared" si="49"/>
        <v>#DIV/0!</v>
      </c>
      <c r="BB37" s="161" t="e">
        <f t="shared" si="50"/>
        <v>#DIV/0!</v>
      </c>
      <c r="BC37" s="161" t="e">
        <f t="shared" si="51"/>
        <v>#DIV/0!</v>
      </c>
      <c r="BD37" s="162" t="e">
        <f t="shared" si="52"/>
        <v>#DIV/0!</v>
      </c>
      <c r="BE37" s="179"/>
      <c r="BF37" s="139">
        <f t="shared" si="2"/>
        <v>0</v>
      </c>
      <c r="BG37" s="140">
        <f t="shared" si="3"/>
        <v>0</v>
      </c>
      <c r="BH37" s="140">
        <f t="shared" si="4"/>
        <v>0</v>
      </c>
      <c r="BI37" s="140">
        <f t="shared" si="5"/>
        <v>0</v>
      </c>
      <c r="BJ37" s="140">
        <f t="shared" si="6"/>
        <v>0</v>
      </c>
      <c r="BK37" s="140">
        <f t="shared" si="7"/>
        <v>0</v>
      </c>
      <c r="BL37" s="140">
        <f t="shared" si="8"/>
        <v>0</v>
      </c>
      <c r="BM37" s="140">
        <f t="shared" si="9"/>
        <v>0</v>
      </c>
      <c r="BN37" s="140">
        <f t="shared" si="10"/>
        <v>0</v>
      </c>
      <c r="BO37" s="140">
        <f t="shared" si="11"/>
        <v>0</v>
      </c>
      <c r="BP37" s="140">
        <f t="shared" si="12"/>
        <v>0</v>
      </c>
      <c r="BQ37" s="140" t="e">
        <f t="shared" si="13"/>
        <v>#DIV/0!</v>
      </c>
      <c r="BR37" s="140">
        <f t="shared" si="14"/>
        <v>30</v>
      </c>
      <c r="BS37" s="141" t="e">
        <f t="shared" si="15"/>
        <v>#DIV/0!</v>
      </c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90"/>
      <c r="G38" s="191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96">
        <f t="shared" si="1"/>
        <v>0</v>
      </c>
      <c r="AO38" s="197">
        <f t="shared" si="1"/>
        <v>0</v>
      </c>
      <c r="AP38" s="198">
        <f t="shared" si="1"/>
        <v>0</v>
      </c>
      <c r="AQ38" s="197">
        <f t="shared" si="1"/>
        <v>0</v>
      </c>
      <c r="AR38" s="198">
        <f t="shared" si="1"/>
        <v>0</v>
      </c>
      <c r="AS38" s="167" t="e">
        <f t="shared" si="16"/>
        <v>#DIV/0!</v>
      </c>
      <c r="AT38" s="168" t="e">
        <f t="shared" si="17"/>
        <v>#DIV/0!</v>
      </c>
      <c r="AU38" s="168" t="e">
        <f t="shared" si="36"/>
        <v>#DIV/0!</v>
      </c>
      <c r="AV38" s="168" t="e">
        <f t="shared" si="19"/>
        <v>#DIV/0!</v>
      </c>
      <c r="AW38" s="168" t="e">
        <f t="shared" si="45"/>
        <v>#DIV/0!</v>
      </c>
      <c r="AX38" s="168" t="e">
        <f t="shared" si="46"/>
        <v>#DIV/0!</v>
      </c>
      <c r="AY38" s="168" t="e">
        <f t="shared" si="47"/>
        <v>#DIV/0!</v>
      </c>
      <c r="AZ38" s="169" t="e">
        <f t="shared" si="48"/>
        <v>#DIV/0!</v>
      </c>
      <c r="BA38" s="169" t="e">
        <f t="shared" si="49"/>
        <v>#DIV/0!</v>
      </c>
      <c r="BB38" s="169" t="e">
        <f t="shared" si="50"/>
        <v>#DIV/0!</v>
      </c>
      <c r="BC38" s="169" t="e">
        <f t="shared" si="51"/>
        <v>#DIV/0!</v>
      </c>
      <c r="BD38" s="170" t="e">
        <f t="shared" si="52"/>
        <v>#DIV/0!</v>
      </c>
      <c r="BE38" s="179"/>
      <c r="BF38" s="172">
        <f t="shared" si="2"/>
        <v>0</v>
      </c>
      <c r="BG38" s="173">
        <f t="shared" si="3"/>
        <v>0</v>
      </c>
      <c r="BH38" s="173">
        <f t="shared" si="4"/>
        <v>0</v>
      </c>
      <c r="BI38" s="173">
        <f t="shared" si="5"/>
        <v>0</v>
      </c>
      <c r="BJ38" s="173">
        <f t="shared" si="6"/>
        <v>0</v>
      </c>
      <c r="BK38" s="173">
        <f t="shared" si="7"/>
        <v>0</v>
      </c>
      <c r="BL38" s="173">
        <f t="shared" si="8"/>
        <v>0</v>
      </c>
      <c r="BM38" s="173">
        <f t="shared" si="9"/>
        <v>0</v>
      </c>
      <c r="BN38" s="173">
        <f t="shared" si="10"/>
        <v>0</v>
      </c>
      <c r="BO38" s="173">
        <f t="shared" si="11"/>
        <v>0</v>
      </c>
      <c r="BP38" s="173">
        <f t="shared" si="12"/>
        <v>0</v>
      </c>
      <c r="BQ38" s="173" t="e">
        <f t="shared" si="13"/>
        <v>#DIV/0!</v>
      </c>
      <c r="BR38" s="173">
        <f t="shared" si="14"/>
        <v>30</v>
      </c>
      <c r="BS38" s="174" t="e">
        <f t="shared" si="15"/>
        <v>#DIV/0!</v>
      </c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87" fitToWidth="0" orientation="landscape" r:id="rId1"/>
  <headerFooter alignWithMargins="0"/>
  <colBreaks count="2" manualBreakCount="2">
    <brk id="39" max="37" man="1"/>
    <brk id="57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zoomScaleNormal="100" zoomScaleSheetLayoutView="100" workbookViewId="0">
      <selection activeCell="A2" sqref="A2"/>
    </sheetView>
  </sheetViews>
  <sheetFormatPr defaultColWidth="9" defaultRowHeight="14" x14ac:dyDescent="0.3"/>
  <cols>
    <col min="1" max="1" width="7.6328125" style="65" customWidth="1"/>
    <col min="2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307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308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前橋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309</v>
      </c>
      <c r="C4" s="85"/>
      <c r="D4" s="75"/>
      <c r="E4" s="75" t="s">
        <v>107</v>
      </c>
      <c r="F4" s="86" t="s">
        <v>310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群馬県衛生環境研究所</v>
      </c>
      <c r="AP4" s="81"/>
      <c r="AQ4" s="75"/>
      <c r="AR4" s="75" t="str">
        <f>E4</f>
        <v>担当者：</v>
      </c>
      <c r="AS4" s="75" t="str">
        <f>F4</f>
        <v>田子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W6" s="71"/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50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142</v>
      </c>
      <c r="J9" s="733"/>
      <c r="K9" s="732" t="s">
        <v>143</v>
      </c>
      <c r="L9" s="733"/>
      <c r="M9" s="732" t="s">
        <v>144</v>
      </c>
      <c r="N9" s="733"/>
      <c r="O9" s="732" t="s">
        <v>145</v>
      </c>
      <c r="P9" s="733"/>
      <c r="Q9" s="732" t="s">
        <v>146</v>
      </c>
      <c r="R9" s="733"/>
      <c r="S9" s="732" t="s">
        <v>147</v>
      </c>
      <c r="T9" s="733"/>
      <c r="U9" s="732" t="s">
        <v>264</v>
      </c>
      <c r="V9" s="733"/>
      <c r="W9" s="732" t="s">
        <v>265</v>
      </c>
      <c r="X9" s="733"/>
      <c r="Y9" s="732" t="s">
        <v>142</v>
      </c>
      <c r="Z9" s="733"/>
      <c r="AA9" s="732" t="s">
        <v>143</v>
      </c>
      <c r="AB9" s="733"/>
      <c r="AC9" s="732" t="s">
        <v>144</v>
      </c>
      <c r="AD9" s="733"/>
      <c r="AE9" s="732" t="s">
        <v>145</v>
      </c>
      <c r="AF9" s="733"/>
      <c r="AG9" s="732" t="s">
        <v>142</v>
      </c>
      <c r="AH9" s="733"/>
      <c r="AI9" s="732" t="s">
        <v>144</v>
      </c>
      <c r="AJ9" s="733"/>
      <c r="AK9" s="732" t="s">
        <v>145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266</v>
      </c>
      <c r="BF9" s="718" t="s">
        <v>142</v>
      </c>
      <c r="BG9" s="718" t="s">
        <v>143</v>
      </c>
      <c r="BH9" s="718" t="s">
        <v>144</v>
      </c>
      <c r="BI9" s="718" t="s">
        <v>145</v>
      </c>
      <c r="BJ9" s="718" t="s">
        <v>146</v>
      </c>
      <c r="BK9" s="718" t="s">
        <v>147</v>
      </c>
      <c r="BL9" s="718" t="s">
        <v>148</v>
      </c>
      <c r="BM9" s="720" t="s">
        <v>266</v>
      </c>
      <c r="BN9" s="103" t="s">
        <v>267</v>
      </c>
      <c r="BO9" s="103" t="s">
        <v>268</v>
      </c>
      <c r="BP9" s="103" t="s">
        <v>269</v>
      </c>
      <c r="BQ9" s="103" t="s">
        <v>270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271</v>
      </c>
      <c r="G10" s="108" t="s">
        <v>272</v>
      </c>
      <c r="H10" s="108" t="s">
        <v>272</v>
      </c>
      <c r="I10" s="109" t="s">
        <v>273</v>
      </c>
      <c r="J10" s="109" t="s">
        <v>274</v>
      </c>
      <c r="K10" s="109" t="s">
        <v>273</v>
      </c>
      <c r="L10" s="109" t="s">
        <v>274</v>
      </c>
      <c r="M10" s="109" t="s">
        <v>273</v>
      </c>
      <c r="N10" s="109" t="s">
        <v>274</v>
      </c>
      <c r="O10" s="109" t="s">
        <v>273</v>
      </c>
      <c r="P10" s="109" t="s">
        <v>274</v>
      </c>
      <c r="Q10" s="109" t="s">
        <v>273</v>
      </c>
      <c r="R10" s="109" t="s">
        <v>274</v>
      </c>
      <c r="S10" s="109" t="s">
        <v>273</v>
      </c>
      <c r="T10" s="109" t="s">
        <v>274</v>
      </c>
      <c r="U10" s="109" t="s">
        <v>273</v>
      </c>
      <c r="V10" s="109" t="s">
        <v>274</v>
      </c>
      <c r="W10" s="109" t="s">
        <v>273</v>
      </c>
      <c r="X10" s="109" t="s">
        <v>274</v>
      </c>
      <c r="Y10" s="109" t="s">
        <v>273</v>
      </c>
      <c r="Z10" s="109" t="s">
        <v>274</v>
      </c>
      <c r="AA10" s="109" t="s">
        <v>273</v>
      </c>
      <c r="AB10" s="109" t="s">
        <v>274</v>
      </c>
      <c r="AC10" s="109" t="s">
        <v>273</v>
      </c>
      <c r="AD10" s="109" t="s">
        <v>274</v>
      </c>
      <c r="AE10" s="109" t="s">
        <v>273</v>
      </c>
      <c r="AF10" s="109" t="s">
        <v>274</v>
      </c>
      <c r="AG10" s="109" t="s">
        <v>273</v>
      </c>
      <c r="AH10" s="109" t="s">
        <v>274</v>
      </c>
      <c r="AI10" s="109" t="s">
        <v>273</v>
      </c>
      <c r="AJ10" s="109" t="s">
        <v>274</v>
      </c>
      <c r="AK10" s="109" t="s">
        <v>273</v>
      </c>
      <c r="AL10" s="110" t="s">
        <v>274</v>
      </c>
      <c r="AM10" s="362"/>
      <c r="AN10" s="105"/>
      <c r="AO10" s="112" t="s">
        <v>163</v>
      </c>
      <c r="AP10" s="113" t="s">
        <v>164</v>
      </c>
      <c r="AQ10" s="112" t="s">
        <v>163</v>
      </c>
      <c r="AR10" s="113" t="s">
        <v>164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19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 t="s">
        <v>311</v>
      </c>
      <c r="B11" s="118">
        <v>42207.4375</v>
      </c>
      <c r="C11" s="119">
        <v>42212.416666666664</v>
      </c>
      <c r="D11" s="118">
        <v>42212.416666666664</v>
      </c>
      <c r="E11" s="119">
        <v>42212.416666666664</v>
      </c>
      <c r="F11" s="363">
        <v>28.884166666666665</v>
      </c>
      <c r="G11" s="121">
        <v>44.073</v>
      </c>
      <c r="H11" s="122">
        <f t="shared" ref="H11:H19" si="0">G11*(20+273)/(F11+273)</f>
        <v>42.775973124349569</v>
      </c>
      <c r="I11" s="123">
        <v>6.7563008117797443</v>
      </c>
      <c r="J11" s="120">
        <v>7.7381483398968068E-2</v>
      </c>
      <c r="K11" s="120">
        <v>1.9441073291795077</v>
      </c>
      <c r="L11" s="120">
        <v>0.12124166063048097</v>
      </c>
      <c r="M11" s="120">
        <v>9.2937293605311971E-2</v>
      </c>
      <c r="N11" s="120">
        <v>2.100762540486634E-2</v>
      </c>
      <c r="O11" s="120">
        <v>2.4175194565541998</v>
      </c>
      <c r="P11" s="120">
        <v>2.0211105128528813E-2</v>
      </c>
      <c r="Q11" s="120">
        <v>0.37109775367808362</v>
      </c>
      <c r="R11" s="120">
        <v>1.598433729590714E-4</v>
      </c>
      <c r="S11" s="120">
        <v>0.31577641628894326</v>
      </c>
      <c r="T11" s="120">
        <v>7.0479452810456172E-3</v>
      </c>
      <c r="U11" s="120">
        <v>9.1093409685799556E-2</v>
      </c>
      <c r="V11" s="120">
        <v>7.0982987790801106E-3</v>
      </c>
      <c r="W11" s="120">
        <v>0.58215626288877731</v>
      </c>
      <c r="X11" s="120">
        <v>8.2718038375490202E-2</v>
      </c>
      <c r="Y11" s="120">
        <v>0.40676561945593515</v>
      </c>
      <c r="Z11" s="120">
        <v>7.1054783714621483E-2</v>
      </c>
      <c r="AA11" s="120">
        <v>4.189914069994229</v>
      </c>
      <c r="AB11" s="120">
        <v>8.7914332956428323E-2</v>
      </c>
      <c r="AC11" s="120">
        <v>0.37569343150730161</v>
      </c>
      <c r="AD11" s="120">
        <v>0.14067311279333591</v>
      </c>
      <c r="AE11" s="120">
        <v>1.0149272865440748</v>
      </c>
      <c r="AF11" s="120">
        <v>1.4612712805598988E-3</v>
      </c>
      <c r="AG11" s="120">
        <v>3.5425230957931184</v>
      </c>
      <c r="AH11" s="120">
        <v>0.27068408012160761</v>
      </c>
      <c r="AI11" s="120">
        <v>0.64449336385641776</v>
      </c>
      <c r="AJ11" s="120">
        <v>7.8127442676892714E-2</v>
      </c>
      <c r="AK11" s="120">
        <v>20.004863860543857</v>
      </c>
      <c r="AL11" s="121">
        <v>0.36758569587829826</v>
      </c>
      <c r="AM11" s="364"/>
      <c r="AN11" s="365" t="str">
        <f t="shared" ref="AN11:AR38" si="1">A11</f>
        <v>15M06</v>
      </c>
      <c r="AO11" s="127">
        <f t="shared" si="1"/>
        <v>42207.4375</v>
      </c>
      <c r="AP11" s="128">
        <f t="shared" si="1"/>
        <v>42212.416666666664</v>
      </c>
      <c r="AQ11" s="127">
        <f t="shared" si="1"/>
        <v>42212.416666666664</v>
      </c>
      <c r="AR11" s="128">
        <f t="shared" si="1"/>
        <v>42212.416666666664</v>
      </c>
      <c r="AS11" s="129">
        <f>1000/96.06*(Y11-Z11+AG11-AH11)*20/H11</f>
        <v>17.559003131822738</v>
      </c>
      <c r="AT11" s="130" t="s">
        <v>232</v>
      </c>
      <c r="AU11" s="130" t="s">
        <v>232</v>
      </c>
      <c r="AV11" s="131">
        <f t="shared" ref="AV11:AV38" si="2">1000/18.04*(AE11-AF11+AK11-AL11)*20/H11</f>
        <v>535.21622550622612</v>
      </c>
      <c r="AW11" s="132">
        <f t="shared" ref="AW11:AW17" si="3">1000/96.06*(I11-J11)*20/H11</f>
        <v>32.508259132802003</v>
      </c>
      <c r="AX11" s="132">
        <f t="shared" ref="AX11:AX17" si="4">1000/62.01*(K11-L11)*20/H11</f>
        <v>13.74431283800622</v>
      </c>
      <c r="AY11" s="132">
        <f t="shared" ref="AY11:AY17" si="5">1000/35.45*(M11-N11)*20/H11</f>
        <v>0.94868474014832327</v>
      </c>
      <c r="AZ11" s="133">
        <f t="shared" ref="AZ11:AZ17" si="6">1000/18.04*(O11-P11)*20/H11</f>
        <v>62.132304581626364</v>
      </c>
      <c r="BA11" s="133">
        <f t="shared" ref="BA11:BA17" si="7">1000/22.99*(Q11-R11)*20/H11</f>
        <v>7.5438378888995485</v>
      </c>
      <c r="BB11" s="133">
        <f t="shared" ref="BB11:BB17" si="8">1000/39.1*(S11-T11)*20/H11</f>
        <v>3.6917307764235496</v>
      </c>
      <c r="BC11" s="133">
        <f t="shared" ref="BC11:BC17" si="9">1000/24.31*(U11-V11)*20/H11</f>
        <v>1.615470926501277</v>
      </c>
      <c r="BD11" s="134">
        <f t="shared" ref="BD11:BD17" si="10">1000/40*(W11-X11)*20/H11</f>
        <v>5.837835916221267</v>
      </c>
      <c r="BF11" s="135">
        <f t="shared" ref="BF11:BF38" si="11">(I11-J11)/48.03*1000</f>
        <v>139.057241898413</v>
      </c>
      <c r="BG11" s="136">
        <f t="shared" ref="BG11:BG38" si="12">(K11-L11)/62.01*1000</f>
        <v>29.396317828560342</v>
      </c>
      <c r="BH11" s="136">
        <f t="shared" ref="BH11:BH38" si="13">(M11-N11)/35.45*1000</f>
        <v>2.0290456474032617</v>
      </c>
      <c r="BI11" s="136">
        <f t="shared" ref="BI11:BI38" si="14">(O11-P11)/18.04*1000</f>
        <v>132.88848954687757</v>
      </c>
      <c r="BJ11" s="136">
        <f t="shared" ref="BJ11:BJ38" si="15">(Q11-R11)/22.99*1000</f>
        <v>16.134750339500851</v>
      </c>
      <c r="BK11" s="136">
        <f t="shared" ref="BK11:BK38" si="16">(S11-T11)/39.1*1000</f>
        <v>7.8958688237313979</v>
      </c>
      <c r="BL11" s="136">
        <f t="shared" ref="BL11:BL38" si="17">(U11-V11)/12.16*1000</f>
        <v>6.907492673249954</v>
      </c>
      <c r="BM11" s="136">
        <f t="shared" ref="BM11:BM38" si="18">(W11-X11)/20.04*1000</f>
        <v>24.922067091481395</v>
      </c>
      <c r="BN11" s="136">
        <f t="shared" ref="BN11:BN38" si="19">SUM(BF11:BH11)</f>
        <v>170.48260537437659</v>
      </c>
      <c r="BO11" s="136">
        <f t="shared" ref="BO11:BO38" si="20">SUM(BI11:BM11)</f>
        <v>188.74866847484117</v>
      </c>
      <c r="BP11" s="136">
        <f t="shared" ref="BP11:BP38" si="21">BN11+BO11</f>
        <v>359.23127384921776</v>
      </c>
      <c r="BQ11" s="136">
        <f t="shared" ref="BQ11:BQ38" si="22">(BO11-BN11)/BP11*100</f>
        <v>5.0847641700960313</v>
      </c>
      <c r="BR11" s="136">
        <f t="shared" ref="BR11:BR38" si="23">IF(BP11&lt;50,30,IF(BP11&lt;=100,15,8))</f>
        <v>8</v>
      </c>
      <c r="BS11" s="137" t="str">
        <f t="shared" ref="BS11:BS38" si="24">IF(ABS(BQ11)&lt;BR11,"○","×")</f>
        <v>○</v>
      </c>
    </row>
    <row r="12" spans="1:71" s="72" customFormat="1" ht="15" customHeight="1" x14ac:dyDescent="0.3">
      <c r="A12" s="117" t="s">
        <v>312</v>
      </c>
      <c r="B12" s="118">
        <v>42212.416666666664</v>
      </c>
      <c r="C12" s="119">
        <v>42213.416666608799</v>
      </c>
      <c r="D12" s="118">
        <v>42213.416666608799</v>
      </c>
      <c r="E12" s="119">
        <v>42213.416666608799</v>
      </c>
      <c r="F12" s="363">
        <v>29.566666666666666</v>
      </c>
      <c r="G12" s="121">
        <v>8.6890000000000001</v>
      </c>
      <c r="H12" s="122">
        <f t="shared" si="0"/>
        <v>8.4142679299327963</v>
      </c>
      <c r="I12" s="123">
        <v>1.748288424394008</v>
      </c>
      <c r="J12" s="120">
        <v>7.7381483398968068E-2</v>
      </c>
      <c r="K12" s="120">
        <v>0.45638254533752898</v>
      </c>
      <c r="L12" s="120">
        <v>0.12124166063048097</v>
      </c>
      <c r="M12" s="120">
        <v>4.582563955240173E-2</v>
      </c>
      <c r="N12" s="120">
        <v>2.100762540486634E-2</v>
      </c>
      <c r="O12" s="120">
        <v>0.66123409984302062</v>
      </c>
      <c r="P12" s="120">
        <v>2.0211105128528813E-2</v>
      </c>
      <c r="Q12" s="120">
        <v>8.6938229569589187E-2</v>
      </c>
      <c r="R12" s="120">
        <v>1.598433729590714E-4</v>
      </c>
      <c r="S12" s="120">
        <v>4.44388907435221E-2</v>
      </c>
      <c r="T12" s="120">
        <v>7.0479452810456172E-3</v>
      </c>
      <c r="U12" s="120">
        <v>2.5100646784117789E-2</v>
      </c>
      <c r="V12" s="120">
        <v>7.0982987790801106E-3</v>
      </c>
      <c r="W12" s="120">
        <v>0.17114604004095949</v>
      </c>
      <c r="X12" s="120">
        <v>8.2718038375490202E-2</v>
      </c>
      <c r="Y12" s="120">
        <v>0.92660601642219032</v>
      </c>
      <c r="Z12" s="120">
        <v>7.1054783714621483E-2</v>
      </c>
      <c r="AA12" s="120">
        <v>1.0810594887140375</v>
      </c>
      <c r="AB12" s="120">
        <v>8.7914332956428323E-2</v>
      </c>
      <c r="AC12" s="120">
        <v>0.35630234579864994</v>
      </c>
      <c r="AD12" s="120">
        <v>0.14067311279333591</v>
      </c>
      <c r="AE12" s="120">
        <v>0.48158413951284179</v>
      </c>
      <c r="AF12" s="120">
        <v>1.4612712805598988E-3</v>
      </c>
      <c r="AG12" s="120">
        <v>2.5400319250415215</v>
      </c>
      <c r="AH12" s="120">
        <v>0.27068408012160761</v>
      </c>
      <c r="AI12" s="120">
        <v>7.0915227029364758E-2</v>
      </c>
      <c r="AJ12" s="120">
        <v>7.8127442676892714E-2</v>
      </c>
      <c r="AK12" s="120">
        <v>4.3693146418203854</v>
      </c>
      <c r="AL12" s="121">
        <v>0.36758569587829826</v>
      </c>
      <c r="AM12" s="366"/>
      <c r="AN12" s="365" t="str">
        <f t="shared" si="1"/>
        <v>15M07</v>
      </c>
      <c r="AO12" s="127">
        <f t="shared" si="1"/>
        <v>42212.416666666664</v>
      </c>
      <c r="AP12" s="128">
        <f t="shared" si="1"/>
        <v>42213.416666608799</v>
      </c>
      <c r="AQ12" s="127">
        <f t="shared" si="1"/>
        <v>42213.416666608799</v>
      </c>
      <c r="AR12" s="128">
        <f t="shared" si="1"/>
        <v>42213.416666608799</v>
      </c>
      <c r="AS12" s="129">
        <f t="shared" ref="AS12:AS38" si="25">1000/96.06*(Y12-Z12+AG12-AH12)*20/H12</f>
        <v>77.322710999405089</v>
      </c>
      <c r="AT12" s="132">
        <f>1000/62.01*(AA12-AB12)*20/H12</f>
        <v>38.068402812779809</v>
      </c>
      <c r="AU12" s="130" t="s">
        <v>232</v>
      </c>
      <c r="AV12" s="131">
        <f t="shared" si="2"/>
        <v>590.52001040794687</v>
      </c>
      <c r="AW12" s="132">
        <f t="shared" si="3"/>
        <v>41.345032686159989</v>
      </c>
      <c r="AX12" s="132">
        <f t="shared" si="4"/>
        <v>12.846337843058597</v>
      </c>
      <c r="AY12" s="132">
        <f t="shared" si="5"/>
        <v>1.6640426265198287</v>
      </c>
      <c r="AZ12" s="133">
        <f t="shared" si="6"/>
        <v>84.459933350176513</v>
      </c>
      <c r="BA12" s="133">
        <f t="shared" si="7"/>
        <v>8.971937858518686</v>
      </c>
      <c r="BB12" s="133">
        <f t="shared" si="8"/>
        <v>2.2730204772273424</v>
      </c>
      <c r="BC12" s="133">
        <f t="shared" si="9"/>
        <v>1.7601831239381436</v>
      </c>
      <c r="BD12" s="134">
        <f t="shared" si="10"/>
        <v>5.2546461796692245</v>
      </c>
      <c r="BF12" s="139">
        <f t="shared" si="11"/>
        <v>34.788818259317921</v>
      </c>
      <c r="BG12" s="140">
        <f t="shared" si="12"/>
        <v>5.4046264264965007</v>
      </c>
      <c r="BH12" s="140">
        <f t="shared" si="13"/>
        <v>0.7000850253183466</v>
      </c>
      <c r="BI12" s="140">
        <f t="shared" si="14"/>
        <v>35.533425427632579</v>
      </c>
      <c r="BJ12" s="140">
        <f t="shared" si="15"/>
        <v>3.7746144496141851</v>
      </c>
      <c r="BK12" s="140">
        <f t="shared" si="16"/>
        <v>0.95629016528072841</v>
      </c>
      <c r="BL12" s="140">
        <f t="shared" si="17"/>
        <v>1.4804562504142829</v>
      </c>
      <c r="BM12" s="140">
        <f t="shared" si="18"/>
        <v>4.4125749334066509</v>
      </c>
      <c r="BN12" s="140">
        <f t="shared" si="19"/>
        <v>40.893529711132764</v>
      </c>
      <c r="BO12" s="140">
        <f t="shared" si="20"/>
        <v>46.157361226348428</v>
      </c>
      <c r="BP12" s="140">
        <f t="shared" si="21"/>
        <v>87.050890937481199</v>
      </c>
      <c r="BQ12" s="140">
        <f t="shared" si="22"/>
        <v>6.0468439306337229</v>
      </c>
      <c r="BR12" s="140">
        <f t="shared" si="23"/>
        <v>15</v>
      </c>
      <c r="BS12" s="141" t="str">
        <f t="shared" si="24"/>
        <v>○</v>
      </c>
    </row>
    <row r="13" spans="1:71" s="72" customFormat="1" ht="15" customHeight="1" x14ac:dyDescent="0.3">
      <c r="A13" s="117" t="s">
        <v>313</v>
      </c>
      <c r="B13" s="118">
        <v>42213.416666608799</v>
      </c>
      <c r="C13" s="119">
        <v>42214.416666608799</v>
      </c>
      <c r="D13" s="118">
        <v>42214.416666608799</v>
      </c>
      <c r="E13" s="119">
        <v>42214.416666608799</v>
      </c>
      <c r="F13" s="363">
        <v>28.112500000000001</v>
      </c>
      <c r="G13" s="121">
        <v>8.5619999999999994</v>
      </c>
      <c r="H13" s="122">
        <f t="shared" si="0"/>
        <v>8.3313246710116644</v>
      </c>
      <c r="I13" s="123">
        <v>1.9962822206596713</v>
      </c>
      <c r="J13" s="120">
        <v>7.7381483398968068E-2</v>
      </c>
      <c r="K13" s="120">
        <v>0.38591516975955337</v>
      </c>
      <c r="L13" s="120">
        <v>0.12124166063048097</v>
      </c>
      <c r="M13" s="120">
        <v>3.0913185369134902E-2</v>
      </c>
      <c r="N13" s="120">
        <v>2.100762540486634E-2</v>
      </c>
      <c r="O13" s="120">
        <v>0.7511514441814322</v>
      </c>
      <c r="P13" s="120">
        <v>2.0211105128528813E-2</v>
      </c>
      <c r="Q13" s="120">
        <v>4.0406631320958987E-2</v>
      </c>
      <c r="R13" s="120">
        <v>1.598433729590714E-4</v>
      </c>
      <c r="S13" s="120">
        <v>4.8237652973304804E-2</v>
      </c>
      <c r="T13" s="120">
        <v>7.0479452810456172E-3</v>
      </c>
      <c r="U13" s="120">
        <v>1.5989063960152358E-2</v>
      </c>
      <c r="V13" s="120">
        <v>7.0982987790801106E-3</v>
      </c>
      <c r="W13" s="120">
        <v>0.14970629244126063</v>
      </c>
      <c r="X13" s="120">
        <v>8.2718038375490202E-2</v>
      </c>
      <c r="Y13" s="120">
        <v>0.15869143093187632</v>
      </c>
      <c r="Z13" s="120">
        <v>7.1054783714621483E-2</v>
      </c>
      <c r="AA13" s="120">
        <v>0.55808829414335159</v>
      </c>
      <c r="AB13" s="120">
        <v>8.7914332956428323E-2</v>
      </c>
      <c r="AC13" s="120">
        <v>0.28502029275204516</v>
      </c>
      <c r="AD13" s="120">
        <v>0.14067311279333591</v>
      </c>
      <c r="AE13" s="120">
        <v>0.14905960833147863</v>
      </c>
      <c r="AF13" s="120">
        <v>1.4612712805598988E-3</v>
      </c>
      <c r="AG13" s="120">
        <v>1.2086969066674182</v>
      </c>
      <c r="AH13" s="120">
        <v>0.27068408012160761</v>
      </c>
      <c r="AI13" s="120">
        <v>6.7920300766876412E-2</v>
      </c>
      <c r="AJ13" s="120">
        <v>7.8127442676892714E-2</v>
      </c>
      <c r="AK13" s="120">
        <v>3.2169520662214568</v>
      </c>
      <c r="AL13" s="124">
        <v>0.36758569587829826</v>
      </c>
      <c r="AM13" s="78"/>
      <c r="AN13" s="126" t="str">
        <f t="shared" si="1"/>
        <v>15M08</v>
      </c>
      <c r="AO13" s="127">
        <f t="shared" si="1"/>
        <v>42213.416666608799</v>
      </c>
      <c r="AP13" s="128">
        <f t="shared" si="1"/>
        <v>42214.416666608799</v>
      </c>
      <c r="AQ13" s="127">
        <f t="shared" si="1"/>
        <v>42214.416666608799</v>
      </c>
      <c r="AR13" s="128">
        <f t="shared" si="1"/>
        <v>42214.416666608799</v>
      </c>
      <c r="AS13" s="129">
        <f t="shared" si="25"/>
        <v>25.631399260014497</v>
      </c>
      <c r="AT13" s="132">
        <f>1000/62.01*(AA13-AB13)*20/H13</f>
        <v>18.201734649137364</v>
      </c>
      <c r="AU13" s="130" t="s">
        <v>232</v>
      </c>
      <c r="AV13" s="131">
        <f t="shared" si="2"/>
        <v>398.805401557018</v>
      </c>
      <c r="AW13" s="132">
        <f t="shared" si="3"/>
        <v>47.954113169493283</v>
      </c>
      <c r="AX13" s="132">
        <f t="shared" si="4"/>
        <v>10.246243687468159</v>
      </c>
      <c r="AY13" s="132">
        <f t="shared" si="5"/>
        <v>0.67077787334925898</v>
      </c>
      <c r="AZ13" s="133">
        <f t="shared" si="6"/>
        <v>97.266062129801938</v>
      </c>
      <c r="BA13" s="133">
        <f t="shared" si="7"/>
        <v>4.2025045343212462</v>
      </c>
      <c r="BB13" s="133">
        <f t="shared" si="8"/>
        <v>2.5288780622992486</v>
      </c>
      <c r="BC13" s="133">
        <f t="shared" si="9"/>
        <v>0.87795067608267718</v>
      </c>
      <c r="BD13" s="134">
        <f t="shared" si="10"/>
        <v>4.0202642863536431</v>
      </c>
      <c r="BF13" s="139">
        <f t="shared" si="11"/>
        <v>39.952128612548471</v>
      </c>
      <c r="BG13" s="140">
        <f t="shared" si="12"/>
        <v>4.2682391409300502</v>
      </c>
      <c r="BH13" s="140">
        <f t="shared" si="13"/>
        <v>0.27942341225017098</v>
      </c>
      <c r="BI13" s="140">
        <f t="shared" si="14"/>
        <v>40.517757153708608</v>
      </c>
      <c r="BJ13" s="140">
        <f t="shared" si="15"/>
        <v>1.7506214853414492</v>
      </c>
      <c r="BK13" s="140">
        <f t="shared" si="16"/>
        <v>1.0534452095206954</v>
      </c>
      <c r="BL13" s="140">
        <f t="shared" si="17"/>
        <v>0.73114845239080983</v>
      </c>
      <c r="BM13" s="140">
        <f t="shared" si="18"/>
        <v>3.3427272487909399</v>
      </c>
      <c r="BN13" s="140">
        <f t="shared" si="19"/>
        <v>44.499791165728688</v>
      </c>
      <c r="BO13" s="140">
        <f t="shared" si="20"/>
        <v>47.395699549752507</v>
      </c>
      <c r="BP13" s="140">
        <f t="shared" si="21"/>
        <v>91.895490715481202</v>
      </c>
      <c r="BQ13" s="140">
        <f t="shared" si="22"/>
        <v>3.1513062953109183</v>
      </c>
      <c r="BR13" s="140">
        <f t="shared" si="23"/>
        <v>15</v>
      </c>
      <c r="BS13" s="141" t="str">
        <f t="shared" si="24"/>
        <v>○</v>
      </c>
    </row>
    <row r="14" spans="1:71" s="72" customFormat="1" ht="15" customHeight="1" x14ac:dyDescent="0.3">
      <c r="A14" s="117" t="s">
        <v>314</v>
      </c>
      <c r="B14" s="118">
        <v>42214.416666608799</v>
      </c>
      <c r="C14" s="119">
        <v>42215.416666608799</v>
      </c>
      <c r="D14" s="118">
        <v>42215.416666608799</v>
      </c>
      <c r="E14" s="119">
        <v>42215.416666608799</v>
      </c>
      <c r="F14" s="363">
        <v>28.270833333333339</v>
      </c>
      <c r="G14" s="121">
        <v>7.2590000000000003</v>
      </c>
      <c r="H14" s="122">
        <f t="shared" si="0"/>
        <v>7.0597175852292384</v>
      </c>
      <c r="I14" s="123">
        <v>2.5612521797200909</v>
      </c>
      <c r="J14" s="120">
        <v>7.7381483398968068E-2</v>
      </c>
      <c r="K14" s="120">
        <v>0.59163375836407273</v>
      </c>
      <c r="L14" s="120">
        <v>0.12124166063048097</v>
      </c>
      <c r="M14" s="120">
        <v>2.4398033563373323E-2</v>
      </c>
      <c r="N14" s="120">
        <v>2.100762540486634E-2</v>
      </c>
      <c r="O14" s="120">
        <v>0.89394453820023512</v>
      </c>
      <c r="P14" s="120">
        <v>2.0211105128528813E-2</v>
      </c>
      <c r="Q14" s="120">
        <v>0.10898836389959431</v>
      </c>
      <c r="R14" s="120">
        <v>1.598433729590714E-4</v>
      </c>
      <c r="S14" s="120">
        <v>3.9970663765829507E-2</v>
      </c>
      <c r="T14" s="120">
        <v>7.0479452810456172E-3</v>
      </c>
      <c r="U14" s="120">
        <v>2.3200262844943417E-2</v>
      </c>
      <c r="V14" s="120">
        <v>7.0982987790801106E-3</v>
      </c>
      <c r="W14" s="120">
        <v>0.12831553586071526</v>
      </c>
      <c r="X14" s="120">
        <v>8.2718038375490202E-2</v>
      </c>
      <c r="Y14" s="120">
        <v>0.17303663668044872</v>
      </c>
      <c r="Z14" s="120">
        <v>7.1054783714621483E-2</v>
      </c>
      <c r="AA14" s="120">
        <v>1.7083886164364883</v>
      </c>
      <c r="AB14" s="120">
        <v>8.7914332956428323E-2</v>
      </c>
      <c r="AC14" s="120">
        <v>0.39489513336255094</v>
      </c>
      <c r="AD14" s="120">
        <v>0.14067311279333591</v>
      </c>
      <c r="AE14" s="120">
        <v>0.4402754712965431</v>
      </c>
      <c r="AF14" s="120">
        <v>1.4612712805598988E-3</v>
      </c>
      <c r="AG14" s="120">
        <v>1.3448775637307364</v>
      </c>
      <c r="AH14" s="120">
        <v>0.27068408012160761</v>
      </c>
      <c r="AI14" s="120">
        <v>7.6843693410907979E-2</v>
      </c>
      <c r="AJ14" s="120">
        <v>7.8127442676892714E-2</v>
      </c>
      <c r="AK14" s="120">
        <v>2.4434064192066591</v>
      </c>
      <c r="AL14" s="124">
        <v>0.36758569587829826</v>
      </c>
      <c r="AM14" s="78"/>
      <c r="AN14" s="126" t="str">
        <f t="shared" si="1"/>
        <v>15M09</v>
      </c>
      <c r="AO14" s="127">
        <f t="shared" si="1"/>
        <v>42214.416666608799</v>
      </c>
      <c r="AP14" s="128">
        <f t="shared" si="1"/>
        <v>42215.416666608799</v>
      </c>
      <c r="AQ14" s="127">
        <f t="shared" si="1"/>
        <v>42215.416666608799</v>
      </c>
      <c r="AR14" s="128">
        <f t="shared" si="1"/>
        <v>42215.416666608799</v>
      </c>
      <c r="AS14" s="129">
        <f t="shared" si="25"/>
        <v>34.687432368796216</v>
      </c>
      <c r="AT14" s="130" t="s">
        <v>232</v>
      </c>
      <c r="AU14" s="122">
        <f>1000/35.45*(AI14-AJ14)*20/H14</f>
        <v>-0.10259037951513718</v>
      </c>
      <c r="AV14" s="131">
        <f t="shared" si="2"/>
        <v>394.89449288429466</v>
      </c>
      <c r="AW14" s="132">
        <f t="shared" si="3"/>
        <v>73.253616286811948</v>
      </c>
      <c r="AX14" s="132">
        <f t="shared" si="4"/>
        <v>21.49022455732856</v>
      </c>
      <c r="AY14" s="132">
        <f t="shared" si="5"/>
        <v>0.27094329781418913</v>
      </c>
      <c r="AZ14" s="133">
        <f t="shared" si="6"/>
        <v>137.20978650452707</v>
      </c>
      <c r="BA14" s="133">
        <f t="shared" si="7"/>
        <v>13.410544807546025</v>
      </c>
      <c r="BB14" s="133">
        <f t="shared" si="8"/>
        <v>2.3854021079883325</v>
      </c>
      <c r="BC14" s="133">
        <f t="shared" si="9"/>
        <v>1.8764481215695927</v>
      </c>
      <c r="BD14" s="134">
        <f t="shared" si="10"/>
        <v>3.229413707754178</v>
      </c>
      <c r="BF14" s="139">
        <f t="shared" si="11"/>
        <v>51.714984308164127</v>
      </c>
      <c r="BG14" s="140">
        <f t="shared" si="12"/>
        <v>7.5857458108948839</v>
      </c>
      <c r="BH14" s="140">
        <f t="shared" si="13"/>
        <v>9.5639158208941685E-2</v>
      </c>
      <c r="BI14" s="140">
        <f t="shared" si="14"/>
        <v>48.433117132577955</v>
      </c>
      <c r="BJ14" s="140">
        <f t="shared" si="15"/>
        <v>4.733732950266865</v>
      </c>
      <c r="BK14" s="140">
        <f t="shared" si="16"/>
        <v>0.84201326048040637</v>
      </c>
      <c r="BL14" s="140">
        <f t="shared" si="17"/>
        <v>1.3241746764690216</v>
      </c>
      <c r="BM14" s="140">
        <f t="shared" si="18"/>
        <v>2.2753242258096336</v>
      </c>
      <c r="BN14" s="140">
        <f t="shared" si="19"/>
        <v>59.396369277267951</v>
      </c>
      <c r="BO14" s="140">
        <f t="shared" si="20"/>
        <v>57.608362245603878</v>
      </c>
      <c r="BP14" s="140">
        <f t="shared" si="21"/>
        <v>117.00473152287182</v>
      </c>
      <c r="BQ14" s="140">
        <f t="shared" si="22"/>
        <v>-1.5281493392551881</v>
      </c>
      <c r="BR14" s="140">
        <f t="shared" si="23"/>
        <v>8</v>
      </c>
      <c r="BS14" s="141" t="str">
        <f t="shared" si="24"/>
        <v>○</v>
      </c>
    </row>
    <row r="15" spans="1:71" s="72" customFormat="1" ht="15" customHeight="1" x14ac:dyDescent="0.3">
      <c r="A15" s="117" t="s">
        <v>315</v>
      </c>
      <c r="B15" s="118">
        <v>42215.416666608799</v>
      </c>
      <c r="C15" s="119">
        <v>42216.416666608799</v>
      </c>
      <c r="D15" s="118">
        <v>42216.416666608799</v>
      </c>
      <c r="E15" s="119">
        <v>42216.416666608799</v>
      </c>
      <c r="F15" s="363">
        <v>28.25</v>
      </c>
      <c r="G15" s="121">
        <v>9.5389999999999997</v>
      </c>
      <c r="H15" s="122">
        <f t="shared" si="0"/>
        <v>9.2777659751037351</v>
      </c>
      <c r="I15" s="123">
        <v>2.4395428434804129</v>
      </c>
      <c r="J15" s="120">
        <v>7.7381483398968068E-2</v>
      </c>
      <c r="K15" s="120">
        <v>0.63094862028352594</v>
      </c>
      <c r="L15" s="120">
        <v>0.12124166063048097</v>
      </c>
      <c r="M15" s="120">
        <v>3.2629850423974142E-2</v>
      </c>
      <c r="N15" s="120">
        <v>2.100762540486634E-2</v>
      </c>
      <c r="O15" s="120">
        <v>0.94092644459358765</v>
      </c>
      <c r="P15" s="120">
        <v>2.0211105128528813E-2</v>
      </c>
      <c r="Q15" s="120">
        <v>4.2976010440734014E-2</v>
      </c>
      <c r="R15" s="120">
        <v>1.598433729590714E-4</v>
      </c>
      <c r="S15" s="120">
        <v>3.686269684004051E-2</v>
      </c>
      <c r="T15" s="120">
        <v>7.0479452810456172E-3</v>
      </c>
      <c r="U15" s="120">
        <v>1.7350822567440333E-2</v>
      </c>
      <c r="V15" s="120">
        <v>7.0982987790801106E-3</v>
      </c>
      <c r="W15" s="120">
        <v>0.15232550357264676</v>
      </c>
      <c r="X15" s="120">
        <v>8.2718038375490202E-2</v>
      </c>
      <c r="Y15" s="120">
        <v>0.20523021023210622</v>
      </c>
      <c r="Z15" s="120">
        <v>7.1054783714621483E-2</v>
      </c>
      <c r="AA15" s="120">
        <v>0.85780938406587981</v>
      </c>
      <c r="AB15" s="120">
        <v>8.7914332956428323E-2</v>
      </c>
      <c r="AC15" s="120">
        <v>0.29068112345807584</v>
      </c>
      <c r="AD15" s="120">
        <v>0.14067311279333591</v>
      </c>
      <c r="AE15" s="120">
        <v>0.2111794483467806</v>
      </c>
      <c r="AF15" s="120">
        <v>1.4612712805598988E-3</v>
      </c>
      <c r="AG15" s="120">
        <v>1.5886108884344026</v>
      </c>
      <c r="AH15" s="120">
        <v>0.27068408012160761</v>
      </c>
      <c r="AI15" s="120">
        <v>7.2631637838787122E-2</v>
      </c>
      <c r="AJ15" s="120">
        <v>7.8127442676892714E-2</v>
      </c>
      <c r="AK15" s="120">
        <v>4.910048508780763</v>
      </c>
      <c r="AL15" s="124">
        <v>0.36758569587829826</v>
      </c>
      <c r="AM15" s="78"/>
      <c r="AN15" s="126" t="str">
        <f t="shared" si="1"/>
        <v>15M10</v>
      </c>
      <c r="AO15" s="127">
        <f t="shared" si="1"/>
        <v>42215.416666608799</v>
      </c>
      <c r="AP15" s="128">
        <f t="shared" si="1"/>
        <v>42216.416666608799</v>
      </c>
      <c r="AQ15" s="127">
        <f t="shared" si="1"/>
        <v>42216.416666608799</v>
      </c>
      <c r="AR15" s="128">
        <f t="shared" si="1"/>
        <v>42216.416666608799</v>
      </c>
      <c r="AS15" s="129">
        <f t="shared" si="25"/>
        <v>32.586760866894842</v>
      </c>
      <c r="AT15" s="130" t="s">
        <v>232</v>
      </c>
      <c r="AU15" s="130" t="s">
        <v>232</v>
      </c>
      <c r="AV15" s="131">
        <f t="shared" si="2"/>
        <v>567.86227968368223</v>
      </c>
      <c r="AW15" s="132">
        <f t="shared" si="3"/>
        <v>53.009482062390674</v>
      </c>
      <c r="AX15" s="132">
        <f t="shared" si="4"/>
        <v>17.71925321171112</v>
      </c>
      <c r="AY15" s="132">
        <f t="shared" si="5"/>
        <v>0.70673991867427011</v>
      </c>
      <c r="AZ15" s="133">
        <f t="shared" si="6"/>
        <v>110.02095936834445</v>
      </c>
      <c r="BA15" s="133">
        <f t="shared" si="7"/>
        <v>4.0147212542372142</v>
      </c>
      <c r="BB15" s="133">
        <f t="shared" si="8"/>
        <v>1.6437698846160789</v>
      </c>
      <c r="BC15" s="133">
        <f t="shared" si="9"/>
        <v>0.90914343895952499</v>
      </c>
      <c r="BD15" s="134">
        <f t="shared" si="10"/>
        <v>3.7513052918096634</v>
      </c>
      <c r="BF15" s="139">
        <f t="shared" si="11"/>
        <v>49.180956903632001</v>
      </c>
      <c r="BG15" s="140">
        <f t="shared" si="12"/>
        <v>8.2197542275930502</v>
      </c>
      <c r="BH15" s="140">
        <f t="shared" si="13"/>
        <v>0.3278483785361862</v>
      </c>
      <c r="BI15" s="140">
        <f t="shared" si="14"/>
        <v>51.037435668794835</v>
      </c>
      <c r="BJ15" s="140">
        <f t="shared" si="15"/>
        <v>1.8623822126043907</v>
      </c>
      <c r="BK15" s="140">
        <f t="shared" si="16"/>
        <v>0.76252561531956242</v>
      </c>
      <c r="BL15" s="140">
        <f t="shared" si="17"/>
        <v>0.84313517996383402</v>
      </c>
      <c r="BM15" s="140">
        <f t="shared" si="18"/>
        <v>3.4734264070437408</v>
      </c>
      <c r="BN15" s="140">
        <f t="shared" si="19"/>
        <v>57.72855950976124</v>
      </c>
      <c r="BO15" s="140">
        <f t="shared" si="20"/>
        <v>57.978905083726353</v>
      </c>
      <c r="BP15" s="140">
        <f t="shared" si="21"/>
        <v>115.7074645934876</v>
      </c>
      <c r="BQ15" s="140">
        <f t="shared" si="22"/>
        <v>0.21636078090955191</v>
      </c>
      <c r="BR15" s="140">
        <f t="shared" si="23"/>
        <v>8</v>
      </c>
      <c r="BS15" s="141" t="str">
        <f t="shared" si="24"/>
        <v>○</v>
      </c>
    </row>
    <row r="16" spans="1:71" s="72" customFormat="1" ht="15" customHeight="1" x14ac:dyDescent="0.3">
      <c r="A16" s="117" t="s">
        <v>316</v>
      </c>
      <c r="B16" s="118">
        <v>42216.416666608799</v>
      </c>
      <c r="C16" s="119">
        <v>42217.416666608799</v>
      </c>
      <c r="D16" s="118">
        <v>42217.416666608799</v>
      </c>
      <c r="E16" s="119">
        <v>42217.416666608799</v>
      </c>
      <c r="F16" s="363">
        <v>30.054166666666671</v>
      </c>
      <c r="G16" s="121">
        <v>8.1980000000000004</v>
      </c>
      <c r="H16" s="122">
        <f t="shared" si="0"/>
        <v>7.9260220257654712</v>
      </c>
      <c r="I16" s="123">
        <v>4.6133531943646595</v>
      </c>
      <c r="J16" s="120">
        <v>7.7381483398968068E-2</v>
      </c>
      <c r="K16" s="120">
        <v>1.5390437677123616</v>
      </c>
      <c r="L16" s="120">
        <v>0.12124166063048097</v>
      </c>
      <c r="M16" s="120">
        <v>6.6922076761185917E-2</v>
      </c>
      <c r="N16" s="120">
        <v>2.100762540486634E-2</v>
      </c>
      <c r="O16" s="120">
        <v>1.9669078390061443</v>
      </c>
      <c r="P16" s="120">
        <v>2.0211105128528813E-2</v>
      </c>
      <c r="Q16" s="120">
        <v>7.4972363861700628E-2</v>
      </c>
      <c r="R16" s="120">
        <v>1.598433729590714E-4</v>
      </c>
      <c r="S16" s="120">
        <v>0.10557637323444968</v>
      </c>
      <c r="T16" s="120">
        <v>7.0479452810456172E-3</v>
      </c>
      <c r="U16" s="120">
        <v>2.5439566908182585E-2</v>
      </c>
      <c r="V16" s="120">
        <v>7.0982987790801106E-3</v>
      </c>
      <c r="W16" s="120">
        <v>0.21950186691061968</v>
      </c>
      <c r="X16" s="120">
        <v>8.2718038375490202E-2</v>
      </c>
      <c r="Y16" s="120">
        <v>0.17572745959604333</v>
      </c>
      <c r="Z16" s="120">
        <v>7.1054783714621483E-2</v>
      </c>
      <c r="AA16" s="120">
        <v>1.985072263012583</v>
      </c>
      <c r="AB16" s="120">
        <v>8.7914332956428323E-2</v>
      </c>
      <c r="AC16" s="120">
        <v>0.49440323009734244</v>
      </c>
      <c r="AD16" s="120">
        <v>0.14067311279333591</v>
      </c>
      <c r="AE16" s="120">
        <v>0.55648312566702685</v>
      </c>
      <c r="AF16" s="120">
        <v>1.4612712805598988E-3</v>
      </c>
      <c r="AG16" s="120">
        <v>1.6791720889822386</v>
      </c>
      <c r="AH16" s="120">
        <v>0.27068408012160761</v>
      </c>
      <c r="AI16" s="120">
        <v>5.3264351959760523E-2</v>
      </c>
      <c r="AJ16" s="120">
        <v>7.8127442676892714E-2</v>
      </c>
      <c r="AK16" s="120">
        <v>5.8992874021080013</v>
      </c>
      <c r="AL16" s="124">
        <v>0.36758569587829826</v>
      </c>
      <c r="AM16" s="78"/>
      <c r="AN16" s="126" t="str">
        <f t="shared" si="1"/>
        <v>15M11</v>
      </c>
      <c r="AO16" s="127">
        <f t="shared" si="1"/>
        <v>42216.416666608799</v>
      </c>
      <c r="AP16" s="128">
        <f t="shared" si="1"/>
        <v>42217.416666608799</v>
      </c>
      <c r="AQ16" s="127">
        <f t="shared" si="1"/>
        <v>42217.416666608799</v>
      </c>
      <c r="AR16" s="128">
        <f t="shared" si="1"/>
        <v>42217.416666608799</v>
      </c>
      <c r="AS16" s="129">
        <f t="shared" si="25"/>
        <v>39.748174460116473</v>
      </c>
      <c r="AT16" s="132">
        <f>1000/62.01*(AA16-AB16)*20/H16</f>
        <v>77.199853279579671</v>
      </c>
      <c r="AU16" s="130" t="s">
        <v>232</v>
      </c>
      <c r="AV16" s="131">
        <f t="shared" si="2"/>
        <v>851.37670991459777</v>
      </c>
      <c r="AW16" s="132">
        <f t="shared" si="3"/>
        <v>119.15231259418582</v>
      </c>
      <c r="AX16" s="132">
        <f t="shared" si="4"/>
        <v>57.693728556884203</v>
      </c>
      <c r="AY16" s="132">
        <f t="shared" si="5"/>
        <v>3.26819439219146</v>
      </c>
      <c r="AZ16" s="133">
        <f t="shared" si="6"/>
        <v>272.29300690015873</v>
      </c>
      <c r="BA16" s="133">
        <f t="shared" si="7"/>
        <v>8.2112643947466548</v>
      </c>
      <c r="BB16" s="133">
        <f t="shared" si="8"/>
        <v>6.3585708823871236</v>
      </c>
      <c r="BC16" s="133">
        <f t="shared" si="9"/>
        <v>1.9037903528475373</v>
      </c>
      <c r="BD16" s="134">
        <f t="shared" si="10"/>
        <v>8.6287817577645018</v>
      </c>
      <c r="BF16" s="139">
        <f t="shared" si="11"/>
        <v>94.440385404240914</v>
      </c>
      <c r="BG16" s="140">
        <f t="shared" si="12"/>
        <v>22.864088164519927</v>
      </c>
      <c r="BH16" s="140">
        <f t="shared" si="13"/>
        <v>1.2951890368496355</v>
      </c>
      <c r="BI16" s="140">
        <f t="shared" si="14"/>
        <v>107.91001850762837</v>
      </c>
      <c r="BJ16" s="140">
        <f t="shared" si="15"/>
        <v>3.2541331226072883</v>
      </c>
      <c r="BK16" s="140">
        <f t="shared" si="16"/>
        <v>2.5199086433095665</v>
      </c>
      <c r="BL16" s="140">
        <f t="shared" si="17"/>
        <v>1.5083279711432953</v>
      </c>
      <c r="BM16" s="140">
        <f t="shared" si="18"/>
        <v>6.8255403460643462</v>
      </c>
      <c r="BN16" s="140">
        <f t="shared" si="19"/>
        <v>118.59966260561048</v>
      </c>
      <c r="BO16" s="140">
        <f t="shared" si="20"/>
        <v>122.01792859075286</v>
      </c>
      <c r="BP16" s="140">
        <f t="shared" si="21"/>
        <v>240.61759119636332</v>
      </c>
      <c r="BQ16" s="140">
        <f t="shared" si="22"/>
        <v>1.4206218124562653</v>
      </c>
      <c r="BR16" s="140">
        <f t="shared" si="23"/>
        <v>8</v>
      </c>
      <c r="BS16" s="141" t="str">
        <f t="shared" si="24"/>
        <v>○</v>
      </c>
    </row>
    <row r="17" spans="1:72" s="77" customFormat="1" ht="15" customHeight="1" x14ac:dyDescent="0.3">
      <c r="A17" s="142" t="s">
        <v>317</v>
      </c>
      <c r="B17" s="143">
        <v>42217.416666608799</v>
      </c>
      <c r="C17" s="144">
        <v>42218.416666608799</v>
      </c>
      <c r="D17" s="143">
        <v>42218.416666608799</v>
      </c>
      <c r="E17" s="144">
        <v>42218.416666608799</v>
      </c>
      <c r="F17" s="367">
        <v>29.558333333333337</v>
      </c>
      <c r="G17" s="147">
        <v>8.5519999999999996</v>
      </c>
      <c r="H17" s="122">
        <f t="shared" si="0"/>
        <v>8.2818277467155088</v>
      </c>
      <c r="I17" s="149">
        <v>5.0095365789046751</v>
      </c>
      <c r="J17" s="146">
        <v>7.7381483398968068E-2</v>
      </c>
      <c r="K17" s="146">
        <v>0.55708454619339531</v>
      </c>
      <c r="L17" s="146">
        <v>0.12124166063048097</v>
      </c>
      <c r="M17" s="146">
        <v>2.7583898133945833E-2</v>
      </c>
      <c r="N17" s="146">
        <v>2.100762540486634E-2</v>
      </c>
      <c r="O17" s="146">
        <v>1.7610273907516736</v>
      </c>
      <c r="P17" s="146">
        <v>2.0211105128528813E-2</v>
      </c>
      <c r="Q17" s="146">
        <v>5.8266057358297221E-2</v>
      </c>
      <c r="R17" s="146">
        <v>1.598433729590714E-4</v>
      </c>
      <c r="S17" s="146">
        <v>0.10811916784432885</v>
      </c>
      <c r="T17" s="146">
        <v>7.0479452810456172E-3</v>
      </c>
      <c r="U17" s="146">
        <v>2.3619623424059114E-2</v>
      </c>
      <c r="V17" s="146">
        <v>7.0982987790801106E-3</v>
      </c>
      <c r="W17" s="146">
        <v>0.19787230846873566</v>
      </c>
      <c r="X17" s="146">
        <v>8.2718038375490202E-2</v>
      </c>
      <c r="Y17" s="146">
        <v>0.15017956623396841</v>
      </c>
      <c r="Z17" s="146">
        <v>7.1054783714621483E-2</v>
      </c>
      <c r="AA17" s="146">
        <v>1.7316893627189003</v>
      </c>
      <c r="AB17" s="146">
        <v>8.7914332956428323E-2</v>
      </c>
      <c r="AC17" s="146">
        <v>0.4603399093838037</v>
      </c>
      <c r="AD17" s="146">
        <v>0.14067311279333591</v>
      </c>
      <c r="AE17" s="146">
        <v>0.43112654989882526</v>
      </c>
      <c r="AF17" s="146">
        <v>1.4612712805598988E-3</v>
      </c>
      <c r="AG17" s="146">
        <v>1.1846452053639462</v>
      </c>
      <c r="AH17" s="146">
        <v>0.27068408012160761</v>
      </c>
      <c r="AI17" s="146">
        <v>6.6645909739462189E-2</v>
      </c>
      <c r="AJ17" s="146">
        <v>7.8127442676892714E-2</v>
      </c>
      <c r="AK17" s="146">
        <v>3.2242894773059207</v>
      </c>
      <c r="AL17" s="150">
        <v>0.36758569587829826</v>
      </c>
      <c r="AN17" s="151" t="str">
        <f t="shared" si="1"/>
        <v>15M12</v>
      </c>
      <c r="AO17" s="152">
        <f t="shared" si="1"/>
        <v>42217.416666608799</v>
      </c>
      <c r="AP17" s="153">
        <f t="shared" si="1"/>
        <v>42218.416666608799</v>
      </c>
      <c r="AQ17" s="152">
        <f t="shared" si="1"/>
        <v>42218.416666608799</v>
      </c>
      <c r="AR17" s="153">
        <f t="shared" si="1"/>
        <v>42218.416666608799</v>
      </c>
      <c r="AS17" s="154">
        <f t="shared" si="25"/>
        <v>24.965946706450605</v>
      </c>
      <c r="AT17" s="155" t="s">
        <v>232</v>
      </c>
      <c r="AU17" s="155" t="s">
        <v>232</v>
      </c>
      <c r="AV17" s="156">
        <f t="shared" si="2"/>
        <v>439.93002389938135</v>
      </c>
      <c r="AW17" s="157">
        <f t="shared" si="3"/>
        <v>123.99322183503756</v>
      </c>
      <c r="AX17" s="157">
        <f t="shared" si="4"/>
        <v>16.973524521516655</v>
      </c>
      <c r="AY17" s="157">
        <f t="shared" si="5"/>
        <v>0.44798902908157484</v>
      </c>
      <c r="AZ17" s="158">
        <f t="shared" si="6"/>
        <v>233.03449373635743</v>
      </c>
      <c r="BA17" s="158">
        <f t="shared" si="7"/>
        <v>6.1036189136462831</v>
      </c>
      <c r="BB17" s="158">
        <f t="shared" si="8"/>
        <v>6.2424426892042453</v>
      </c>
      <c r="BC17" s="158">
        <f t="shared" si="9"/>
        <v>1.6412083150705399</v>
      </c>
      <c r="BD17" s="159">
        <f t="shared" si="10"/>
        <v>6.9522256206617259</v>
      </c>
      <c r="BF17" s="139">
        <f t="shared" si="11"/>
        <v>102.68905049980651</v>
      </c>
      <c r="BG17" s="140">
        <f t="shared" si="12"/>
        <v>7.0285903170926352</v>
      </c>
      <c r="BH17" s="140">
        <f t="shared" si="13"/>
        <v>0.18550839856359638</v>
      </c>
      <c r="BI17" s="140">
        <f t="shared" si="14"/>
        <v>96.497576808378327</v>
      </c>
      <c r="BJ17" s="140">
        <f t="shared" si="15"/>
        <v>2.5274560237206676</v>
      </c>
      <c r="BK17" s="140">
        <f t="shared" si="16"/>
        <v>2.5849417535366555</v>
      </c>
      <c r="BL17" s="140">
        <f t="shared" si="17"/>
        <v>1.3586615661989312</v>
      </c>
      <c r="BM17" s="140">
        <f t="shared" si="18"/>
        <v>5.7462210625371988</v>
      </c>
      <c r="BN17" s="140">
        <f t="shared" si="19"/>
        <v>109.90314921546275</v>
      </c>
      <c r="BO17" s="140">
        <f t="shared" si="20"/>
        <v>108.71485721437179</v>
      </c>
      <c r="BP17" s="140">
        <f t="shared" si="21"/>
        <v>218.61800642983454</v>
      </c>
      <c r="BQ17" s="140">
        <f t="shared" si="22"/>
        <v>-0.54354717641812345</v>
      </c>
      <c r="BR17" s="140">
        <f t="shared" si="23"/>
        <v>8</v>
      </c>
      <c r="BS17" s="141" t="str">
        <f t="shared" si="24"/>
        <v>○</v>
      </c>
    </row>
    <row r="18" spans="1:72" s="72" customFormat="1" ht="15" customHeight="1" x14ac:dyDescent="0.3">
      <c r="A18" s="117" t="s">
        <v>318</v>
      </c>
      <c r="B18" s="118">
        <v>42218.416666608799</v>
      </c>
      <c r="C18" s="119">
        <v>42219.416666608799</v>
      </c>
      <c r="D18" s="118">
        <v>42219.416666608799</v>
      </c>
      <c r="E18" s="119">
        <v>42219.416666608799</v>
      </c>
      <c r="F18" s="363">
        <v>26.645833333333332</v>
      </c>
      <c r="G18" s="121">
        <v>8.5030000000000001</v>
      </c>
      <c r="H18" s="122">
        <f t="shared" si="0"/>
        <v>8.314412292289509</v>
      </c>
      <c r="I18" s="123">
        <v>3.4447117935929845</v>
      </c>
      <c r="J18" s="120">
        <v>7.7381483398968068E-2</v>
      </c>
      <c r="K18" s="120">
        <v>0.35571984676476387</v>
      </c>
      <c r="L18" s="120">
        <v>0.12124166063048097</v>
      </c>
      <c r="M18" s="120">
        <v>2.6614827602725367E-2</v>
      </c>
      <c r="N18" s="120">
        <v>2.100762540486634E-2</v>
      </c>
      <c r="O18" s="120">
        <v>1.2266821820112792</v>
      </c>
      <c r="P18" s="120">
        <v>2.0211105128528813E-2</v>
      </c>
      <c r="Q18" s="120">
        <v>4.2694517392468642E-2</v>
      </c>
      <c r="R18" s="120">
        <v>1.598433729590714E-4</v>
      </c>
      <c r="S18" s="120">
        <v>0.10596583072360331</v>
      </c>
      <c r="T18" s="120">
        <v>7.0479452810456172E-3</v>
      </c>
      <c r="U18" s="120">
        <v>2.0729379843320173E-2</v>
      </c>
      <c r="V18" s="120">
        <v>7.0982987790801106E-3</v>
      </c>
      <c r="W18" s="120">
        <v>0.15496603965388492</v>
      </c>
      <c r="X18" s="120">
        <v>8.2718038375490202E-2</v>
      </c>
      <c r="Y18" s="120">
        <v>0.13853300353280792</v>
      </c>
      <c r="Z18" s="120">
        <v>7.1054783714621483E-2</v>
      </c>
      <c r="AA18" s="120">
        <v>1.1595606119867026</v>
      </c>
      <c r="AB18" s="120">
        <v>8.7914332956428323E-2</v>
      </c>
      <c r="AC18" s="120">
        <v>0.34672548593423036</v>
      </c>
      <c r="AD18" s="120">
        <v>0.14067311279333591</v>
      </c>
      <c r="AE18" s="120">
        <v>0.29854438451293119</v>
      </c>
      <c r="AF18" s="120">
        <v>1.4612712805598988E-3</v>
      </c>
      <c r="AG18" s="120">
        <v>1.2458622457275366</v>
      </c>
      <c r="AH18" s="120">
        <v>0.27068408012160761</v>
      </c>
      <c r="AI18" s="120">
        <v>5.379340842281722E-2</v>
      </c>
      <c r="AJ18" s="120">
        <v>7.8127442676892714E-2</v>
      </c>
      <c r="AK18" s="120">
        <v>2.3021559001657002</v>
      </c>
      <c r="AL18" s="124">
        <v>0.36758569587829826</v>
      </c>
      <c r="AM18" s="78"/>
      <c r="AN18" s="126" t="str">
        <f t="shared" si="1"/>
        <v>15M13</v>
      </c>
      <c r="AO18" s="127">
        <f t="shared" si="1"/>
        <v>42218.416666608799</v>
      </c>
      <c r="AP18" s="128">
        <f t="shared" si="1"/>
        <v>42219.416666608799</v>
      </c>
      <c r="AQ18" s="127">
        <f t="shared" si="1"/>
        <v>42219.416666608799</v>
      </c>
      <c r="AR18" s="128">
        <f t="shared" si="1"/>
        <v>42219.416666608799</v>
      </c>
      <c r="AS18" s="160">
        <f t="shared" si="25"/>
        <v>26.109410372446458</v>
      </c>
      <c r="AT18" s="122">
        <f t="shared" ref="AT18:AT38" si="26">1000/62.01*(AA18-AB18)*20/H18</f>
        <v>41.5707795193252</v>
      </c>
      <c r="AU18" s="122">
        <f t="shared" ref="AU18:AU38" si="27">1000/35.45*(AC18-AD18+AI18-AJ18)*20/H18</f>
        <v>12.330507679282634</v>
      </c>
      <c r="AV18" s="122">
        <f t="shared" si="2"/>
        <v>297.56965050844991</v>
      </c>
      <c r="AW18" s="122">
        <f t="shared" ref="AW18:AW24" si="28">1000/96.06*(I18-J18)*40/H18</f>
        <v>168.64426316762194</v>
      </c>
      <c r="AX18" s="122">
        <f t="shared" ref="AX18:AX24" si="29">1000/62.01*(K18-L18)*40/H18</f>
        <v>18.191526753958339</v>
      </c>
      <c r="AY18" s="122">
        <f t="shared" ref="AY18:AY24" si="30">1000/35.45*(M18-N18)*40/H18</f>
        <v>0.76095401469693125</v>
      </c>
      <c r="AZ18" s="161">
        <f t="shared" ref="AZ18:AZ24" si="31">1000/18.04*(O18-P18)*40/H18</f>
        <v>321.74278493717895</v>
      </c>
      <c r="BA18" s="161">
        <f t="shared" ref="BA18:BA24" si="32">1000/22.99*(Q18-R18)*40/H18</f>
        <v>8.9008723447138252</v>
      </c>
      <c r="BB18" s="161">
        <f t="shared" ref="BB18:BB24" si="33">1000/39.1*(S18-T18)*40/H18</f>
        <v>12.171006700018472</v>
      </c>
      <c r="BC18" s="161">
        <f t="shared" ref="BC18:BC24" si="34">1000/24.31*(U18-V18)*40/H18</f>
        <v>2.6975765440839874</v>
      </c>
      <c r="BD18" s="162">
        <f t="shared" ref="BD18:BD24" si="35">1000/40*(W18-X18)*40/H18</f>
        <v>8.68948985671482</v>
      </c>
      <c r="BF18" s="163">
        <f t="shared" si="11"/>
        <v>70.108896735249147</v>
      </c>
      <c r="BG18" s="164">
        <f t="shared" si="12"/>
        <v>3.7812963414656169</v>
      </c>
      <c r="BH18" s="164">
        <f t="shared" si="13"/>
        <v>0.15817213534158042</v>
      </c>
      <c r="BI18" s="164">
        <f t="shared" si="14"/>
        <v>66.877554150928532</v>
      </c>
      <c r="BJ18" s="164">
        <f t="shared" si="15"/>
        <v>1.8501380608747093</v>
      </c>
      <c r="BK18" s="164">
        <f t="shared" si="16"/>
        <v>2.5298691929042887</v>
      </c>
      <c r="BL18" s="164">
        <f t="shared" si="17"/>
        <v>1.1209770612039525</v>
      </c>
      <c r="BM18" s="164">
        <f t="shared" si="18"/>
        <v>3.605189684550635</v>
      </c>
      <c r="BN18" s="164">
        <f t="shared" si="19"/>
        <v>74.048365212056353</v>
      </c>
      <c r="BO18" s="164">
        <f t="shared" si="20"/>
        <v>75.983728150462127</v>
      </c>
      <c r="BP18" s="164">
        <f t="shared" si="21"/>
        <v>150.03209336251848</v>
      </c>
      <c r="BQ18" s="164">
        <f t="shared" si="22"/>
        <v>1.289965963301871</v>
      </c>
      <c r="BR18" s="164">
        <f t="shared" si="23"/>
        <v>8</v>
      </c>
      <c r="BS18" s="165" t="str">
        <f t="shared" si="24"/>
        <v>○</v>
      </c>
    </row>
    <row r="19" spans="1:72" s="72" customFormat="1" ht="15" customHeight="1" x14ac:dyDescent="0.3">
      <c r="A19" s="117" t="s">
        <v>319</v>
      </c>
      <c r="B19" s="118">
        <v>42219.416666608799</v>
      </c>
      <c r="C19" s="119">
        <v>42221.416666666664</v>
      </c>
      <c r="D19" s="118">
        <v>42221.416666666664</v>
      </c>
      <c r="E19" s="119">
        <v>42221.416666666664</v>
      </c>
      <c r="F19" s="363">
        <v>29.2</v>
      </c>
      <c r="G19" s="121">
        <v>17.332999999999998</v>
      </c>
      <c r="H19" s="122">
        <f t="shared" si="0"/>
        <v>16.805324288550629</v>
      </c>
      <c r="I19" s="123">
        <v>10.581547200193526</v>
      </c>
      <c r="J19" s="120">
        <v>7.7381483398968068E-2</v>
      </c>
      <c r="K19" s="120">
        <v>1.2284700411275378</v>
      </c>
      <c r="L19" s="120">
        <v>0.12124166063048097</v>
      </c>
      <c r="M19" s="120">
        <v>5.8019602920705404E-2</v>
      </c>
      <c r="N19" s="120">
        <v>2.100762540486634E-2</v>
      </c>
      <c r="O19" s="120">
        <v>3.817078376163741</v>
      </c>
      <c r="P19" s="120">
        <v>2.0211105128528813E-2</v>
      </c>
      <c r="Q19" s="120">
        <v>0.13640062937781749</v>
      </c>
      <c r="R19" s="120">
        <v>1.598433729590714E-4</v>
      </c>
      <c r="S19" s="120">
        <v>0.22741849841950806</v>
      </c>
      <c r="T19" s="120">
        <v>7.0479452810456172E-3</v>
      </c>
      <c r="U19" s="120">
        <v>5.5415778454515695E-2</v>
      </c>
      <c r="V19" s="120">
        <v>7.0982987790801106E-3</v>
      </c>
      <c r="W19" s="120">
        <v>0.49069050996466224</v>
      </c>
      <c r="X19" s="120">
        <v>8.2718038375490202E-2</v>
      </c>
      <c r="Y19" s="120">
        <v>0.31620462953786987</v>
      </c>
      <c r="Z19" s="120">
        <v>7.1054783714621483E-2</v>
      </c>
      <c r="AA19" s="120">
        <v>3.4168522295540806</v>
      </c>
      <c r="AB19" s="120">
        <v>8.7914332956428323E-2</v>
      </c>
      <c r="AC19" s="120">
        <v>0.48025726281779357</v>
      </c>
      <c r="AD19" s="120">
        <v>0.14067311279333591</v>
      </c>
      <c r="AE19" s="120">
        <v>0.89356579632138344</v>
      </c>
      <c r="AF19" s="120">
        <v>1.4612712805598988E-3</v>
      </c>
      <c r="AG19" s="120">
        <v>3.1251304293540878</v>
      </c>
      <c r="AH19" s="120">
        <v>0.27068408012160761</v>
      </c>
      <c r="AI19" s="120">
        <v>0.20256581089440687</v>
      </c>
      <c r="AJ19" s="120">
        <v>7.8127442676892714E-2</v>
      </c>
      <c r="AK19" s="120">
        <v>10.186499652812364</v>
      </c>
      <c r="AL19" s="124">
        <v>0.36758569587829826</v>
      </c>
      <c r="AM19" s="78"/>
      <c r="AN19" s="126" t="str">
        <f t="shared" si="1"/>
        <v>15M14</v>
      </c>
      <c r="AO19" s="127">
        <f t="shared" si="1"/>
        <v>42219.416666608799</v>
      </c>
      <c r="AP19" s="128">
        <f t="shared" si="1"/>
        <v>42221.416666666664</v>
      </c>
      <c r="AQ19" s="127">
        <f t="shared" si="1"/>
        <v>42221.416666666664</v>
      </c>
      <c r="AR19" s="128">
        <f t="shared" si="1"/>
        <v>42221.416666666664</v>
      </c>
      <c r="AS19" s="160">
        <f t="shared" si="25"/>
        <v>38.401274206687674</v>
      </c>
      <c r="AT19" s="122">
        <f t="shared" si="26"/>
        <v>63.889142638293663</v>
      </c>
      <c r="AU19" s="122">
        <f t="shared" si="27"/>
        <v>15.577792528640611</v>
      </c>
      <c r="AV19" s="122">
        <f t="shared" si="2"/>
        <v>706.60602105857606</v>
      </c>
      <c r="AW19" s="122">
        <f t="shared" si="28"/>
        <v>260.27477298271975</v>
      </c>
      <c r="AX19" s="122">
        <f t="shared" si="29"/>
        <v>42.499964932985492</v>
      </c>
      <c r="AY19" s="122">
        <f t="shared" si="30"/>
        <v>2.4850729615487901</v>
      </c>
      <c r="AZ19" s="161">
        <f t="shared" si="31"/>
        <v>500.95876118384905</v>
      </c>
      <c r="BA19" s="161">
        <f t="shared" si="32"/>
        <v>14.10526543534551</v>
      </c>
      <c r="BB19" s="161">
        <f t="shared" si="33"/>
        <v>13.414975947063967</v>
      </c>
      <c r="BC19" s="161">
        <f t="shared" si="34"/>
        <v>4.7307762490065413</v>
      </c>
      <c r="BD19" s="162">
        <f t="shared" si="35"/>
        <v>24.276381971820758</v>
      </c>
      <c r="BF19" s="139">
        <f t="shared" si="11"/>
        <v>218.70009820517507</v>
      </c>
      <c r="BG19" s="140">
        <f t="shared" si="12"/>
        <v>17.855642323771278</v>
      </c>
      <c r="BH19" s="140">
        <f t="shared" si="13"/>
        <v>1.0440614249884079</v>
      </c>
      <c r="BI19" s="140">
        <f t="shared" si="14"/>
        <v>210.46936092212928</v>
      </c>
      <c r="BJ19" s="140">
        <f t="shared" si="15"/>
        <v>5.9260889954266389</v>
      </c>
      <c r="BK19" s="140">
        <f t="shared" si="16"/>
        <v>5.6360755278379138</v>
      </c>
      <c r="BL19" s="140">
        <f t="shared" si="17"/>
        <v>3.973476946993058</v>
      </c>
      <c r="BM19" s="140">
        <f t="shared" si="18"/>
        <v>20.357907763930744</v>
      </c>
      <c r="BN19" s="140">
        <f t="shared" si="19"/>
        <v>237.59980195393473</v>
      </c>
      <c r="BO19" s="140">
        <f t="shared" si="20"/>
        <v>246.36291015631764</v>
      </c>
      <c r="BP19" s="140">
        <f t="shared" si="21"/>
        <v>483.96271211025237</v>
      </c>
      <c r="BQ19" s="140">
        <f t="shared" si="22"/>
        <v>1.8106990441830924</v>
      </c>
      <c r="BR19" s="140">
        <f t="shared" si="23"/>
        <v>8</v>
      </c>
      <c r="BS19" s="141" t="str">
        <f t="shared" si="24"/>
        <v>○</v>
      </c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>
        <f t="shared" si="1"/>
        <v>0</v>
      </c>
      <c r="AO20" s="127">
        <f t="shared" si="1"/>
        <v>0</v>
      </c>
      <c r="AP20" s="128">
        <f t="shared" si="1"/>
        <v>0</v>
      </c>
      <c r="AQ20" s="127">
        <f t="shared" si="1"/>
        <v>0</v>
      </c>
      <c r="AR20" s="128">
        <f t="shared" si="1"/>
        <v>0</v>
      </c>
      <c r="AS20" s="160" t="e">
        <f t="shared" si="25"/>
        <v>#DIV/0!</v>
      </c>
      <c r="AT20" s="122" t="e">
        <f t="shared" si="26"/>
        <v>#DIV/0!</v>
      </c>
      <c r="AU20" s="122" t="e">
        <f t="shared" si="27"/>
        <v>#DIV/0!</v>
      </c>
      <c r="AV20" s="122" t="e">
        <f t="shared" si="2"/>
        <v>#DIV/0!</v>
      </c>
      <c r="AW20" s="122" t="e">
        <f t="shared" si="28"/>
        <v>#DIV/0!</v>
      </c>
      <c r="AX20" s="122" t="e">
        <f t="shared" si="29"/>
        <v>#DIV/0!</v>
      </c>
      <c r="AY20" s="122" t="e">
        <f t="shared" si="30"/>
        <v>#DIV/0!</v>
      </c>
      <c r="AZ20" s="161" t="e">
        <f t="shared" si="31"/>
        <v>#DIV/0!</v>
      </c>
      <c r="BA20" s="161" t="e">
        <f t="shared" si="32"/>
        <v>#DIV/0!</v>
      </c>
      <c r="BB20" s="161" t="e">
        <f t="shared" si="33"/>
        <v>#DIV/0!</v>
      </c>
      <c r="BC20" s="161" t="e">
        <f t="shared" si="34"/>
        <v>#DIV/0!</v>
      </c>
      <c r="BD20" s="162" t="e">
        <f t="shared" si="35"/>
        <v>#DIV/0!</v>
      </c>
      <c r="BF20" s="139">
        <f t="shared" si="11"/>
        <v>0</v>
      </c>
      <c r="BG20" s="140">
        <f t="shared" si="12"/>
        <v>0</v>
      </c>
      <c r="BH20" s="140">
        <f t="shared" si="13"/>
        <v>0</v>
      </c>
      <c r="BI20" s="140">
        <f t="shared" si="14"/>
        <v>0</v>
      </c>
      <c r="BJ20" s="140">
        <f t="shared" si="15"/>
        <v>0</v>
      </c>
      <c r="BK20" s="140">
        <f t="shared" si="16"/>
        <v>0</v>
      </c>
      <c r="BL20" s="140">
        <f t="shared" si="17"/>
        <v>0</v>
      </c>
      <c r="BM20" s="140">
        <f t="shared" si="18"/>
        <v>0</v>
      </c>
      <c r="BN20" s="140">
        <f t="shared" si="19"/>
        <v>0</v>
      </c>
      <c r="BO20" s="140">
        <f t="shared" si="20"/>
        <v>0</v>
      </c>
      <c r="BP20" s="140">
        <f t="shared" si="21"/>
        <v>0</v>
      </c>
      <c r="BQ20" s="140" t="e">
        <f t="shared" si="22"/>
        <v>#DIV/0!</v>
      </c>
      <c r="BR20" s="140">
        <f t="shared" si="23"/>
        <v>30</v>
      </c>
      <c r="BS20" s="141" t="e">
        <f t="shared" si="24"/>
        <v>#DIV/0!</v>
      </c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>
        <f t="shared" si="1"/>
        <v>0</v>
      </c>
      <c r="AO21" s="127">
        <f t="shared" si="1"/>
        <v>0</v>
      </c>
      <c r="AP21" s="128">
        <f t="shared" si="1"/>
        <v>0</v>
      </c>
      <c r="AQ21" s="127">
        <f t="shared" si="1"/>
        <v>0</v>
      </c>
      <c r="AR21" s="128">
        <f t="shared" si="1"/>
        <v>0</v>
      </c>
      <c r="AS21" s="160" t="e">
        <f t="shared" si="25"/>
        <v>#DIV/0!</v>
      </c>
      <c r="AT21" s="122" t="e">
        <f t="shared" si="26"/>
        <v>#DIV/0!</v>
      </c>
      <c r="AU21" s="122" t="e">
        <f t="shared" si="27"/>
        <v>#DIV/0!</v>
      </c>
      <c r="AV21" s="122" t="e">
        <f t="shared" si="2"/>
        <v>#DIV/0!</v>
      </c>
      <c r="AW21" s="122" t="e">
        <f t="shared" si="28"/>
        <v>#DIV/0!</v>
      </c>
      <c r="AX21" s="122" t="e">
        <f t="shared" si="29"/>
        <v>#DIV/0!</v>
      </c>
      <c r="AY21" s="122" t="e">
        <f t="shared" si="30"/>
        <v>#DIV/0!</v>
      </c>
      <c r="AZ21" s="161" t="e">
        <f t="shared" si="31"/>
        <v>#DIV/0!</v>
      </c>
      <c r="BA21" s="161" t="e">
        <f t="shared" si="32"/>
        <v>#DIV/0!</v>
      </c>
      <c r="BB21" s="161" t="e">
        <f t="shared" si="33"/>
        <v>#DIV/0!</v>
      </c>
      <c r="BC21" s="161" t="e">
        <f t="shared" si="34"/>
        <v>#DIV/0!</v>
      </c>
      <c r="BD21" s="162" t="e">
        <f t="shared" si="35"/>
        <v>#DIV/0!</v>
      </c>
      <c r="BF21" s="139">
        <f t="shared" si="11"/>
        <v>0</v>
      </c>
      <c r="BG21" s="140">
        <f t="shared" si="12"/>
        <v>0</v>
      </c>
      <c r="BH21" s="140">
        <f t="shared" si="13"/>
        <v>0</v>
      </c>
      <c r="BI21" s="140">
        <f t="shared" si="14"/>
        <v>0</v>
      </c>
      <c r="BJ21" s="140">
        <f t="shared" si="15"/>
        <v>0</v>
      </c>
      <c r="BK21" s="140">
        <f t="shared" si="16"/>
        <v>0</v>
      </c>
      <c r="BL21" s="140">
        <f t="shared" si="17"/>
        <v>0</v>
      </c>
      <c r="BM21" s="140">
        <f t="shared" si="18"/>
        <v>0</v>
      </c>
      <c r="BN21" s="140">
        <f t="shared" si="19"/>
        <v>0</v>
      </c>
      <c r="BO21" s="140">
        <f t="shared" si="20"/>
        <v>0</v>
      </c>
      <c r="BP21" s="140">
        <f t="shared" si="21"/>
        <v>0</v>
      </c>
      <c r="BQ21" s="140" t="e">
        <f t="shared" si="22"/>
        <v>#DIV/0!</v>
      </c>
      <c r="BR21" s="140">
        <f t="shared" si="23"/>
        <v>30</v>
      </c>
      <c r="BS21" s="141" t="e">
        <f t="shared" si="24"/>
        <v>#DIV/0!</v>
      </c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>
        <f t="shared" si="1"/>
        <v>0</v>
      </c>
      <c r="AO22" s="127">
        <f t="shared" si="1"/>
        <v>0</v>
      </c>
      <c r="AP22" s="128">
        <f t="shared" si="1"/>
        <v>0</v>
      </c>
      <c r="AQ22" s="127">
        <f t="shared" si="1"/>
        <v>0</v>
      </c>
      <c r="AR22" s="128">
        <f t="shared" si="1"/>
        <v>0</v>
      </c>
      <c r="AS22" s="160" t="e">
        <f t="shared" si="25"/>
        <v>#DIV/0!</v>
      </c>
      <c r="AT22" s="122" t="e">
        <f t="shared" si="26"/>
        <v>#DIV/0!</v>
      </c>
      <c r="AU22" s="122" t="e">
        <f t="shared" si="27"/>
        <v>#DIV/0!</v>
      </c>
      <c r="AV22" s="122" t="e">
        <f t="shared" si="2"/>
        <v>#DIV/0!</v>
      </c>
      <c r="AW22" s="122" t="e">
        <f t="shared" si="28"/>
        <v>#DIV/0!</v>
      </c>
      <c r="AX22" s="122" t="e">
        <f t="shared" si="29"/>
        <v>#DIV/0!</v>
      </c>
      <c r="AY22" s="122" t="e">
        <f t="shared" si="30"/>
        <v>#DIV/0!</v>
      </c>
      <c r="AZ22" s="161" t="e">
        <f t="shared" si="31"/>
        <v>#DIV/0!</v>
      </c>
      <c r="BA22" s="161" t="e">
        <f t="shared" si="32"/>
        <v>#DIV/0!</v>
      </c>
      <c r="BB22" s="161" t="e">
        <f t="shared" si="33"/>
        <v>#DIV/0!</v>
      </c>
      <c r="BC22" s="161" t="e">
        <f t="shared" si="34"/>
        <v>#DIV/0!</v>
      </c>
      <c r="BD22" s="162" t="e">
        <f t="shared" si="35"/>
        <v>#DIV/0!</v>
      </c>
      <c r="BF22" s="139">
        <f t="shared" si="11"/>
        <v>0</v>
      </c>
      <c r="BG22" s="140">
        <f t="shared" si="12"/>
        <v>0</v>
      </c>
      <c r="BH22" s="140">
        <f t="shared" si="13"/>
        <v>0</v>
      </c>
      <c r="BI22" s="140">
        <f t="shared" si="14"/>
        <v>0</v>
      </c>
      <c r="BJ22" s="140">
        <f t="shared" si="15"/>
        <v>0</v>
      </c>
      <c r="BK22" s="140">
        <f t="shared" si="16"/>
        <v>0</v>
      </c>
      <c r="BL22" s="140">
        <f t="shared" si="17"/>
        <v>0</v>
      </c>
      <c r="BM22" s="140">
        <f t="shared" si="18"/>
        <v>0</v>
      </c>
      <c r="BN22" s="140">
        <f t="shared" si="19"/>
        <v>0</v>
      </c>
      <c r="BO22" s="140">
        <f t="shared" si="20"/>
        <v>0</v>
      </c>
      <c r="BP22" s="140">
        <f t="shared" si="21"/>
        <v>0</v>
      </c>
      <c r="BQ22" s="140" t="e">
        <f t="shared" si="22"/>
        <v>#DIV/0!</v>
      </c>
      <c r="BR22" s="140">
        <f t="shared" si="23"/>
        <v>30</v>
      </c>
      <c r="BS22" s="141" t="e">
        <f t="shared" si="24"/>
        <v>#DIV/0!</v>
      </c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>
        <f t="shared" si="1"/>
        <v>0</v>
      </c>
      <c r="AO23" s="127">
        <f t="shared" si="1"/>
        <v>0</v>
      </c>
      <c r="AP23" s="128">
        <f t="shared" si="1"/>
        <v>0</v>
      </c>
      <c r="AQ23" s="127">
        <f t="shared" si="1"/>
        <v>0</v>
      </c>
      <c r="AR23" s="128">
        <f t="shared" si="1"/>
        <v>0</v>
      </c>
      <c r="AS23" s="160" t="e">
        <f t="shared" si="25"/>
        <v>#DIV/0!</v>
      </c>
      <c r="AT23" s="122" t="e">
        <f t="shared" si="26"/>
        <v>#DIV/0!</v>
      </c>
      <c r="AU23" s="122" t="e">
        <f t="shared" si="27"/>
        <v>#DIV/0!</v>
      </c>
      <c r="AV23" s="122" t="e">
        <f t="shared" si="2"/>
        <v>#DIV/0!</v>
      </c>
      <c r="AW23" s="122" t="e">
        <f t="shared" si="28"/>
        <v>#DIV/0!</v>
      </c>
      <c r="AX23" s="122" t="e">
        <f t="shared" si="29"/>
        <v>#DIV/0!</v>
      </c>
      <c r="AY23" s="122" t="e">
        <f t="shared" si="30"/>
        <v>#DIV/0!</v>
      </c>
      <c r="AZ23" s="161" t="e">
        <f t="shared" si="31"/>
        <v>#DIV/0!</v>
      </c>
      <c r="BA23" s="161" t="e">
        <f t="shared" si="32"/>
        <v>#DIV/0!</v>
      </c>
      <c r="BB23" s="161" t="e">
        <f t="shared" si="33"/>
        <v>#DIV/0!</v>
      </c>
      <c r="BC23" s="161" t="e">
        <f t="shared" si="34"/>
        <v>#DIV/0!</v>
      </c>
      <c r="BD23" s="162" t="e">
        <f t="shared" si="35"/>
        <v>#DIV/0!</v>
      </c>
      <c r="BF23" s="139">
        <f t="shared" si="11"/>
        <v>0</v>
      </c>
      <c r="BG23" s="140">
        <f t="shared" si="12"/>
        <v>0</v>
      </c>
      <c r="BH23" s="140">
        <f t="shared" si="13"/>
        <v>0</v>
      </c>
      <c r="BI23" s="140">
        <f t="shared" si="14"/>
        <v>0</v>
      </c>
      <c r="BJ23" s="140">
        <f t="shared" si="15"/>
        <v>0</v>
      </c>
      <c r="BK23" s="140">
        <f t="shared" si="16"/>
        <v>0</v>
      </c>
      <c r="BL23" s="140">
        <f t="shared" si="17"/>
        <v>0</v>
      </c>
      <c r="BM23" s="140">
        <f t="shared" si="18"/>
        <v>0</v>
      </c>
      <c r="BN23" s="140">
        <f t="shared" si="19"/>
        <v>0</v>
      </c>
      <c r="BO23" s="140">
        <f t="shared" si="20"/>
        <v>0</v>
      </c>
      <c r="BP23" s="140">
        <f t="shared" si="21"/>
        <v>0</v>
      </c>
      <c r="BQ23" s="140" t="e">
        <f t="shared" si="22"/>
        <v>#DIV/0!</v>
      </c>
      <c r="BR23" s="140">
        <f t="shared" si="23"/>
        <v>30</v>
      </c>
      <c r="BS23" s="141" t="e">
        <f t="shared" si="24"/>
        <v>#DIV/0!</v>
      </c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368"/>
      <c r="AN24" s="151">
        <f t="shared" si="1"/>
        <v>0</v>
      </c>
      <c r="AO24" s="152">
        <f t="shared" si="1"/>
        <v>0</v>
      </c>
      <c r="AP24" s="153">
        <f t="shared" si="1"/>
        <v>0</v>
      </c>
      <c r="AQ24" s="152">
        <f t="shared" si="1"/>
        <v>0</v>
      </c>
      <c r="AR24" s="153">
        <f t="shared" si="1"/>
        <v>0</v>
      </c>
      <c r="AS24" s="167" t="e">
        <f t="shared" si="25"/>
        <v>#DIV/0!</v>
      </c>
      <c r="AT24" s="168" t="e">
        <f t="shared" si="26"/>
        <v>#DIV/0!</v>
      </c>
      <c r="AU24" s="168" t="e">
        <f t="shared" si="27"/>
        <v>#DIV/0!</v>
      </c>
      <c r="AV24" s="168" t="e">
        <f t="shared" si="2"/>
        <v>#DIV/0!</v>
      </c>
      <c r="AW24" s="168" t="e">
        <f t="shared" si="28"/>
        <v>#DIV/0!</v>
      </c>
      <c r="AX24" s="168" t="e">
        <f t="shared" si="29"/>
        <v>#DIV/0!</v>
      </c>
      <c r="AY24" s="168" t="e">
        <f t="shared" si="30"/>
        <v>#DIV/0!</v>
      </c>
      <c r="AZ24" s="169" t="e">
        <f t="shared" si="31"/>
        <v>#DIV/0!</v>
      </c>
      <c r="BA24" s="169" t="e">
        <f t="shared" si="32"/>
        <v>#DIV/0!</v>
      </c>
      <c r="BB24" s="169" t="e">
        <f t="shared" si="33"/>
        <v>#DIV/0!</v>
      </c>
      <c r="BC24" s="169" t="e">
        <f t="shared" si="34"/>
        <v>#DIV/0!</v>
      </c>
      <c r="BD24" s="170" t="e">
        <f t="shared" si="35"/>
        <v>#DIV/0!</v>
      </c>
      <c r="BE24" s="369"/>
      <c r="BF24" s="172">
        <f t="shared" si="11"/>
        <v>0</v>
      </c>
      <c r="BG24" s="173">
        <f t="shared" si="12"/>
        <v>0</v>
      </c>
      <c r="BH24" s="173">
        <f t="shared" si="13"/>
        <v>0</v>
      </c>
      <c r="BI24" s="173">
        <f t="shared" si="14"/>
        <v>0</v>
      </c>
      <c r="BJ24" s="173">
        <f t="shared" si="15"/>
        <v>0</v>
      </c>
      <c r="BK24" s="173">
        <f t="shared" si="16"/>
        <v>0</v>
      </c>
      <c r="BL24" s="173">
        <f t="shared" si="17"/>
        <v>0</v>
      </c>
      <c r="BM24" s="173">
        <f t="shared" si="18"/>
        <v>0</v>
      </c>
      <c r="BN24" s="173">
        <f t="shared" si="19"/>
        <v>0</v>
      </c>
      <c r="BO24" s="173">
        <f t="shared" si="20"/>
        <v>0</v>
      </c>
      <c r="BP24" s="173">
        <f t="shared" si="21"/>
        <v>0</v>
      </c>
      <c r="BQ24" s="173" t="e">
        <f t="shared" si="22"/>
        <v>#DIV/0!</v>
      </c>
      <c r="BR24" s="173">
        <f t="shared" si="23"/>
        <v>30</v>
      </c>
      <c r="BS24" s="174" t="e">
        <f t="shared" si="24"/>
        <v>#DIV/0!</v>
      </c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>
        <f t="shared" si="1"/>
        <v>0</v>
      </c>
      <c r="AO25" s="127">
        <f t="shared" si="1"/>
        <v>0</v>
      </c>
      <c r="AP25" s="128">
        <f t="shared" si="1"/>
        <v>0</v>
      </c>
      <c r="AQ25" s="127">
        <f t="shared" si="1"/>
        <v>0</v>
      </c>
      <c r="AR25" s="128">
        <f t="shared" si="1"/>
        <v>0</v>
      </c>
      <c r="AS25" s="160" t="e">
        <f t="shared" si="25"/>
        <v>#DIV/0!</v>
      </c>
      <c r="AT25" s="122" t="e">
        <f t="shared" si="26"/>
        <v>#DIV/0!</v>
      </c>
      <c r="AU25" s="122" t="e">
        <f t="shared" si="27"/>
        <v>#DIV/0!</v>
      </c>
      <c r="AV25" s="122" t="e">
        <f t="shared" si="2"/>
        <v>#DIV/0!</v>
      </c>
      <c r="AW25" s="122" t="e">
        <f t="shared" ref="AW25:AW31" si="36">(I25-J25)*20/H25</f>
        <v>#DIV/0!</v>
      </c>
      <c r="AX25" s="122" t="e">
        <f t="shared" ref="AX25:AX31" si="37">(K25-L25)*20/H25</f>
        <v>#DIV/0!</v>
      </c>
      <c r="AY25" s="122" t="e">
        <f t="shared" ref="AY25:AY31" si="38">(M25-N25)*20/H25</f>
        <v>#DIV/0!</v>
      </c>
      <c r="AZ25" s="161" t="e">
        <f t="shared" ref="AZ25:AZ31" si="39">(O25-P25)*20/H25</f>
        <v>#DIV/0!</v>
      </c>
      <c r="BA25" s="161" t="e">
        <f t="shared" ref="BA25:BA31" si="40">(Q25-R25)*20/H25</f>
        <v>#DIV/0!</v>
      </c>
      <c r="BB25" s="161" t="e">
        <f t="shared" ref="BB25:BB31" si="41">(S25-T25)*20/H25</f>
        <v>#DIV/0!</v>
      </c>
      <c r="BC25" s="161" t="e">
        <f t="shared" ref="BC25:BC31" si="42">(U25-V25)*20/H25</f>
        <v>#DIV/0!</v>
      </c>
      <c r="BD25" s="162" t="e">
        <f t="shared" ref="BD25:BD31" si="43">(W25-X25)*20/H25</f>
        <v>#DIV/0!</v>
      </c>
      <c r="BE25" s="179"/>
      <c r="BF25" s="163">
        <f t="shared" si="11"/>
        <v>0</v>
      </c>
      <c r="BG25" s="164">
        <f t="shared" si="12"/>
        <v>0</v>
      </c>
      <c r="BH25" s="164">
        <f t="shared" si="13"/>
        <v>0</v>
      </c>
      <c r="BI25" s="164">
        <f t="shared" si="14"/>
        <v>0</v>
      </c>
      <c r="BJ25" s="164">
        <f t="shared" si="15"/>
        <v>0</v>
      </c>
      <c r="BK25" s="164">
        <f t="shared" si="16"/>
        <v>0</v>
      </c>
      <c r="BL25" s="164">
        <f t="shared" si="17"/>
        <v>0</v>
      </c>
      <c r="BM25" s="164">
        <f t="shared" si="18"/>
        <v>0</v>
      </c>
      <c r="BN25" s="164">
        <f t="shared" si="19"/>
        <v>0</v>
      </c>
      <c r="BO25" s="164">
        <f t="shared" si="20"/>
        <v>0</v>
      </c>
      <c r="BP25" s="164">
        <f t="shared" si="21"/>
        <v>0</v>
      </c>
      <c r="BQ25" s="164" t="e">
        <f t="shared" si="22"/>
        <v>#DIV/0!</v>
      </c>
      <c r="BR25" s="164">
        <f t="shared" si="23"/>
        <v>30</v>
      </c>
      <c r="BS25" s="165" t="e">
        <f t="shared" si="24"/>
        <v>#DIV/0!</v>
      </c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>
        <f t="shared" si="1"/>
        <v>0</v>
      </c>
      <c r="AO26" s="127">
        <f t="shared" si="1"/>
        <v>0</v>
      </c>
      <c r="AP26" s="128">
        <f t="shared" si="1"/>
        <v>0</v>
      </c>
      <c r="AQ26" s="127">
        <f t="shared" si="1"/>
        <v>0</v>
      </c>
      <c r="AR26" s="128">
        <f t="shared" si="1"/>
        <v>0</v>
      </c>
      <c r="AS26" s="160" t="e">
        <f t="shared" si="25"/>
        <v>#DIV/0!</v>
      </c>
      <c r="AT26" s="122" t="e">
        <f t="shared" si="26"/>
        <v>#DIV/0!</v>
      </c>
      <c r="AU26" s="122" t="e">
        <f t="shared" si="27"/>
        <v>#DIV/0!</v>
      </c>
      <c r="AV26" s="122" t="e">
        <f t="shared" si="2"/>
        <v>#DIV/0!</v>
      </c>
      <c r="AW26" s="122" t="e">
        <f t="shared" si="36"/>
        <v>#DIV/0!</v>
      </c>
      <c r="AX26" s="122" t="e">
        <f t="shared" si="37"/>
        <v>#DIV/0!</v>
      </c>
      <c r="AY26" s="122" t="e">
        <f t="shared" si="38"/>
        <v>#DIV/0!</v>
      </c>
      <c r="AZ26" s="161" t="e">
        <f t="shared" si="39"/>
        <v>#DIV/0!</v>
      </c>
      <c r="BA26" s="161" t="e">
        <f t="shared" si="40"/>
        <v>#DIV/0!</v>
      </c>
      <c r="BB26" s="161" t="e">
        <f t="shared" si="41"/>
        <v>#DIV/0!</v>
      </c>
      <c r="BC26" s="161" t="e">
        <f t="shared" si="42"/>
        <v>#DIV/0!</v>
      </c>
      <c r="BD26" s="162" t="e">
        <f t="shared" si="43"/>
        <v>#DIV/0!</v>
      </c>
      <c r="BE26" s="179"/>
      <c r="BF26" s="139">
        <f t="shared" si="11"/>
        <v>0</v>
      </c>
      <c r="BG26" s="140">
        <f t="shared" si="12"/>
        <v>0</v>
      </c>
      <c r="BH26" s="140">
        <f t="shared" si="13"/>
        <v>0</v>
      </c>
      <c r="BI26" s="140">
        <f t="shared" si="14"/>
        <v>0</v>
      </c>
      <c r="BJ26" s="140">
        <f t="shared" si="15"/>
        <v>0</v>
      </c>
      <c r="BK26" s="140">
        <f t="shared" si="16"/>
        <v>0</v>
      </c>
      <c r="BL26" s="140">
        <f t="shared" si="17"/>
        <v>0</v>
      </c>
      <c r="BM26" s="140">
        <f t="shared" si="18"/>
        <v>0</v>
      </c>
      <c r="BN26" s="140">
        <f t="shared" si="19"/>
        <v>0</v>
      </c>
      <c r="BO26" s="140">
        <f t="shared" si="20"/>
        <v>0</v>
      </c>
      <c r="BP26" s="140">
        <f t="shared" si="21"/>
        <v>0</v>
      </c>
      <c r="BQ26" s="140" t="e">
        <f t="shared" si="22"/>
        <v>#DIV/0!</v>
      </c>
      <c r="BR26" s="140">
        <f t="shared" si="23"/>
        <v>30</v>
      </c>
      <c r="BS26" s="141" t="e">
        <f t="shared" si="24"/>
        <v>#DIV/0!</v>
      </c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>
        <f t="shared" si="1"/>
        <v>0</v>
      </c>
      <c r="AO27" s="127">
        <f t="shared" si="1"/>
        <v>0</v>
      </c>
      <c r="AP27" s="128">
        <f t="shared" si="1"/>
        <v>0</v>
      </c>
      <c r="AQ27" s="127">
        <f t="shared" si="1"/>
        <v>0</v>
      </c>
      <c r="AR27" s="128">
        <f t="shared" si="1"/>
        <v>0</v>
      </c>
      <c r="AS27" s="160" t="e">
        <f t="shared" si="25"/>
        <v>#DIV/0!</v>
      </c>
      <c r="AT27" s="122" t="e">
        <f t="shared" si="26"/>
        <v>#DIV/0!</v>
      </c>
      <c r="AU27" s="122" t="e">
        <f t="shared" si="27"/>
        <v>#DIV/0!</v>
      </c>
      <c r="AV27" s="122" t="e">
        <f t="shared" si="2"/>
        <v>#DIV/0!</v>
      </c>
      <c r="AW27" s="122" t="e">
        <f t="shared" si="36"/>
        <v>#DIV/0!</v>
      </c>
      <c r="AX27" s="122" t="e">
        <f t="shared" si="37"/>
        <v>#DIV/0!</v>
      </c>
      <c r="AY27" s="122" t="e">
        <f t="shared" si="38"/>
        <v>#DIV/0!</v>
      </c>
      <c r="AZ27" s="161" t="e">
        <f t="shared" si="39"/>
        <v>#DIV/0!</v>
      </c>
      <c r="BA27" s="161" t="e">
        <f t="shared" si="40"/>
        <v>#DIV/0!</v>
      </c>
      <c r="BB27" s="161" t="e">
        <f t="shared" si="41"/>
        <v>#DIV/0!</v>
      </c>
      <c r="BC27" s="161" t="e">
        <f t="shared" si="42"/>
        <v>#DIV/0!</v>
      </c>
      <c r="BD27" s="162" t="e">
        <f t="shared" si="43"/>
        <v>#DIV/0!</v>
      </c>
      <c r="BE27" s="179"/>
      <c r="BF27" s="139">
        <f t="shared" si="11"/>
        <v>0</v>
      </c>
      <c r="BG27" s="140">
        <f t="shared" si="12"/>
        <v>0</v>
      </c>
      <c r="BH27" s="140">
        <f t="shared" si="13"/>
        <v>0</v>
      </c>
      <c r="BI27" s="140">
        <f t="shared" si="14"/>
        <v>0</v>
      </c>
      <c r="BJ27" s="140">
        <f t="shared" si="15"/>
        <v>0</v>
      </c>
      <c r="BK27" s="140">
        <f t="shared" si="16"/>
        <v>0</v>
      </c>
      <c r="BL27" s="140">
        <f t="shared" si="17"/>
        <v>0</v>
      </c>
      <c r="BM27" s="140">
        <f t="shared" si="18"/>
        <v>0</v>
      </c>
      <c r="BN27" s="140">
        <f t="shared" si="19"/>
        <v>0</v>
      </c>
      <c r="BO27" s="140">
        <f t="shared" si="20"/>
        <v>0</v>
      </c>
      <c r="BP27" s="140">
        <f t="shared" si="21"/>
        <v>0</v>
      </c>
      <c r="BQ27" s="140" t="e">
        <f t="shared" si="22"/>
        <v>#DIV/0!</v>
      </c>
      <c r="BR27" s="140">
        <f t="shared" si="23"/>
        <v>30</v>
      </c>
      <c r="BS27" s="141" t="e">
        <f t="shared" si="24"/>
        <v>#DIV/0!</v>
      </c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>
        <f t="shared" si="1"/>
        <v>0</v>
      </c>
      <c r="AO28" s="127">
        <f t="shared" si="1"/>
        <v>0</v>
      </c>
      <c r="AP28" s="128">
        <f t="shared" si="1"/>
        <v>0</v>
      </c>
      <c r="AQ28" s="127">
        <f t="shared" si="1"/>
        <v>0</v>
      </c>
      <c r="AR28" s="128">
        <f t="shared" si="1"/>
        <v>0</v>
      </c>
      <c r="AS28" s="160" t="e">
        <f t="shared" si="25"/>
        <v>#DIV/0!</v>
      </c>
      <c r="AT28" s="122" t="e">
        <f t="shared" si="26"/>
        <v>#DIV/0!</v>
      </c>
      <c r="AU28" s="122" t="e">
        <f t="shared" si="27"/>
        <v>#DIV/0!</v>
      </c>
      <c r="AV28" s="122" t="e">
        <f t="shared" si="2"/>
        <v>#DIV/0!</v>
      </c>
      <c r="AW28" s="122" t="e">
        <f t="shared" si="36"/>
        <v>#DIV/0!</v>
      </c>
      <c r="AX28" s="122" t="e">
        <f t="shared" si="37"/>
        <v>#DIV/0!</v>
      </c>
      <c r="AY28" s="122" t="e">
        <f t="shared" si="38"/>
        <v>#DIV/0!</v>
      </c>
      <c r="AZ28" s="161" t="e">
        <f t="shared" si="39"/>
        <v>#DIV/0!</v>
      </c>
      <c r="BA28" s="161" t="e">
        <f t="shared" si="40"/>
        <v>#DIV/0!</v>
      </c>
      <c r="BB28" s="161" t="e">
        <f t="shared" si="41"/>
        <v>#DIV/0!</v>
      </c>
      <c r="BC28" s="161" t="e">
        <f t="shared" si="42"/>
        <v>#DIV/0!</v>
      </c>
      <c r="BD28" s="162" t="e">
        <f t="shared" si="43"/>
        <v>#DIV/0!</v>
      </c>
      <c r="BE28" s="179"/>
      <c r="BF28" s="139">
        <f t="shared" si="11"/>
        <v>0</v>
      </c>
      <c r="BG28" s="140">
        <f t="shared" si="12"/>
        <v>0</v>
      </c>
      <c r="BH28" s="140">
        <f t="shared" si="13"/>
        <v>0</v>
      </c>
      <c r="BI28" s="140">
        <f t="shared" si="14"/>
        <v>0</v>
      </c>
      <c r="BJ28" s="140">
        <f t="shared" si="15"/>
        <v>0</v>
      </c>
      <c r="BK28" s="140">
        <f t="shared" si="16"/>
        <v>0</v>
      </c>
      <c r="BL28" s="140">
        <f t="shared" si="17"/>
        <v>0</v>
      </c>
      <c r="BM28" s="140">
        <f t="shared" si="18"/>
        <v>0</v>
      </c>
      <c r="BN28" s="140">
        <f t="shared" si="19"/>
        <v>0</v>
      </c>
      <c r="BO28" s="140">
        <f t="shared" si="20"/>
        <v>0</v>
      </c>
      <c r="BP28" s="140">
        <f t="shared" si="21"/>
        <v>0</v>
      </c>
      <c r="BQ28" s="140" t="e">
        <f t="shared" si="22"/>
        <v>#DIV/0!</v>
      </c>
      <c r="BR28" s="140">
        <f t="shared" si="23"/>
        <v>30</v>
      </c>
      <c r="BS28" s="141" t="e">
        <f t="shared" si="24"/>
        <v>#DIV/0!</v>
      </c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>
        <f t="shared" si="1"/>
        <v>0</v>
      </c>
      <c r="AO29" s="127">
        <f t="shared" si="1"/>
        <v>0</v>
      </c>
      <c r="AP29" s="128">
        <f t="shared" si="1"/>
        <v>0</v>
      </c>
      <c r="AQ29" s="127">
        <f t="shared" si="1"/>
        <v>0</v>
      </c>
      <c r="AR29" s="128">
        <f t="shared" si="1"/>
        <v>0</v>
      </c>
      <c r="AS29" s="160" t="e">
        <f t="shared" si="25"/>
        <v>#DIV/0!</v>
      </c>
      <c r="AT29" s="122" t="e">
        <f t="shared" si="26"/>
        <v>#DIV/0!</v>
      </c>
      <c r="AU29" s="122" t="e">
        <f t="shared" si="27"/>
        <v>#DIV/0!</v>
      </c>
      <c r="AV29" s="122" t="e">
        <f t="shared" si="2"/>
        <v>#DIV/0!</v>
      </c>
      <c r="AW29" s="122" t="e">
        <f t="shared" si="36"/>
        <v>#DIV/0!</v>
      </c>
      <c r="AX29" s="122" t="e">
        <f t="shared" si="37"/>
        <v>#DIV/0!</v>
      </c>
      <c r="AY29" s="122" t="e">
        <f t="shared" si="38"/>
        <v>#DIV/0!</v>
      </c>
      <c r="AZ29" s="161" t="e">
        <f t="shared" si="39"/>
        <v>#DIV/0!</v>
      </c>
      <c r="BA29" s="161" t="e">
        <f t="shared" si="40"/>
        <v>#DIV/0!</v>
      </c>
      <c r="BB29" s="161" t="e">
        <f t="shared" si="41"/>
        <v>#DIV/0!</v>
      </c>
      <c r="BC29" s="161" t="e">
        <f t="shared" si="42"/>
        <v>#DIV/0!</v>
      </c>
      <c r="BD29" s="162" t="e">
        <f t="shared" si="43"/>
        <v>#DIV/0!</v>
      </c>
      <c r="BE29" s="179"/>
      <c r="BF29" s="139">
        <f t="shared" si="11"/>
        <v>0</v>
      </c>
      <c r="BG29" s="140">
        <f t="shared" si="12"/>
        <v>0</v>
      </c>
      <c r="BH29" s="140">
        <f t="shared" si="13"/>
        <v>0</v>
      </c>
      <c r="BI29" s="140">
        <f t="shared" si="14"/>
        <v>0</v>
      </c>
      <c r="BJ29" s="140">
        <f t="shared" si="15"/>
        <v>0</v>
      </c>
      <c r="BK29" s="140">
        <f t="shared" si="16"/>
        <v>0</v>
      </c>
      <c r="BL29" s="140">
        <f t="shared" si="17"/>
        <v>0</v>
      </c>
      <c r="BM29" s="140">
        <f t="shared" si="18"/>
        <v>0</v>
      </c>
      <c r="BN29" s="140">
        <f t="shared" si="19"/>
        <v>0</v>
      </c>
      <c r="BO29" s="140">
        <f t="shared" si="20"/>
        <v>0</v>
      </c>
      <c r="BP29" s="140">
        <f t="shared" si="21"/>
        <v>0</v>
      </c>
      <c r="BQ29" s="140" t="e">
        <f t="shared" si="22"/>
        <v>#DIV/0!</v>
      </c>
      <c r="BR29" s="140">
        <f t="shared" si="23"/>
        <v>30</v>
      </c>
      <c r="BS29" s="141" t="e">
        <f t="shared" si="24"/>
        <v>#DIV/0!</v>
      </c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>
        <f t="shared" si="1"/>
        <v>0</v>
      </c>
      <c r="AO30" s="127">
        <f t="shared" si="1"/>
        <v>0</v>
      </c>
      <c r="AP30" s="128">
        <f t="shared" si="1"/>
        <v>0</v>
      </c>
      <c r="AQ30" s="127">
        <f t="shared" si="1"/>
        <v>0</v>
      </c>
      <c r="AR30" s="128">
        <f t="shared" si="1"/>
        <v>0</v>
      </c>
      <c r="AS30" s="160" t="e">
        <f t="shared" si="25"/>
        <v>#DIV/0!</v>
      </c>
      <c r="AT30" s="122" t="e">
        <f t="shared" si="26"/>
        <v>#DIV/0!</v>
      </c>
      <c r="AU30" s="122" t="e">
        <f t="shared" si="27"/>
        <v>#DIV/0!</v>
      </c>
      <c r="AV30" s="122" t="e">
        <f t="shared" si="2"/>
        <v>#DIV/0!</v>
      </c>
      <c r="AW30" s="122" t="e">
        <f t="shared" si="36"/>
        <v>#DIV/0!</v>
      </c>
      <c r="AX30" s="122" t="e">
        <f t="shared" si="37"/>
        <v>#DIV/0!</v>
      </c>
      <c r="AY30" s="122" t="e">
        <f t="shared" si="38"/>
        <v>#DIV/0!</v>
      </c>
      <c r="AZ30" s="161" t="e">
        <f t="shared" si="39"/>
        <v>#DIV/0!</v>
      </c>
      <c r="BA30" s="161" t="e">
        <f t="shared" si="40"/>
        <v>#DIV/0!</v>
      </c>
      <c r="BB30" s="161" t="e">
        <f t="shared" si="41"/>
        <v>#DIV/0!</v>
      </c>
      <c r="BC30" s="161" t="e">
        <f t="shared" si="42"/>
        <v>#DIV/0!</v>
      </c>
      <c r="BD30" s="162" t="e">
        <f t="shared" si="43"/>
        <v>#DIV/0!</v>
      </c>
      <c r="BE30" s="179"/>
      <c r="BF30" s="139">
        <f t="shared" si="11"/>
        <v>0</v>
      </c>
      <c r="BG30" s="140">
        <f t="shared" si="12"/>
        <v>0</v>
      </c>
      <c r="BH30" s="140">
        <f t="shared" si="13"/>
        <v>0</v>
      </c>
      <c r="BI30" s="140">
        <f t="shared" si="14"/>
        <v>0</v>
      </c>
      <c r="BJ30" s="140">
        <f t="shared" si="15"/>
        <v>0</v>
      </c>
      <c r="BK30" s="140">
        <f t="shared" si="16"/>
        <v>0</v>
      </c>
      <c r="BL30" s="140">
        <f t="shared" si="17"/>
        <v>0</v>
      </c>
      <c r="BM30" s="140">
        <f t="shared" si="18"/>
        <v>0</v>
      </c>
      <c r="BN30" s="140">
        <f t="shared" si="19"/>
        <v>0</v>
      </c>
      <c r="BO30" s="140">
        <f t="shared" si="20"/>
        <v>0</v>
      </c>
      <c r="BP30" s="140">
        <f t="shared" si="21"/>
        <v>0</v>
      </c>
      <c r="BQ30" s="140" t="e">
        <f t="shared" si="22"/>
        <v>#DIV/0!</v>
      </c>
      <c r="BR30" s="140">
        <f t="shared" si="23"/>
        <v>30</v>
      </c>
      <c r="BS30" s="141" t="e">
        <f t="shared" si="24"/>
        <v>#DIV/0!</v>
      </c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>
        <f t="shared" si="1"/>
        <v>0</v>
      </c>
      <c r="AO31" s="152">
        <f t="shared" si="1"/>
        <v>0</v>
      </c>
      <c r="AP31" s="153">
        <f t="shared" si="1"/>
        <v>0</v>
      </c>
      <c r="AQ31" s="152">
        <f t="shared" si="1"/>
        <v>0</v>
      </c>
      <c r="AR31" s="153">
        <f t="shared" si="1"/>
        <v>0</v>
      </c>
      <c r="AS31" s="183" t="e">
        <f t="shared" si="25"/>
        <v>#DIV/0!</v>
      </c>
      <c r="AT31" s="148" t="e">
        <f t="shared" si="26"/>
        <v>#DIV/0!</v>
      </c>
      <c r="AU31" s="148" t="e">
        <f t="shared" si="27"/>
        <v>#DIV/0!</v>
      </c>
      <c r="AV31" s="148" t="e">
        <f t="shared" si="2"/>
        <v>#DIV/0!</v>
      </c>
      <c r="AW31" s="148" t="e">
        <f t="shared" si="36"/>
        <v>#DIV/0!</v>
      </c>
      <c r="AX31" s="148" t="e">
        <f t="shared" si="37"/>
        <v>#DIV/0!</v>
      </c>
      <c r="AY31" s="148" t="e">
        <f t="shared" si="38"/>
        <v>#DIV/0!</v>
      </c>
      <c r="AZ31" s="184" t="e">
        <f t="shared" si="39"/>
        <v>#DIV/0!</v>
      </c>
      <c r="BA31" s="184" t="e">
        <f t="shared" si="40"/>
        <v>#DIV/0!</v>
      </c>
      <c r="BB31" s="184" t="e">
        <f t="shared" si="41"/>
        <v>#DIV/0!</v>
      </c>
      <c r="BC31" s="184" t="e">
        <f t="shared" si="42"/>
        <v>#DIV/0!</v>
      </c>
      <c r="BD31" s="185" t="e">
        <f t="shared" si="43"/>
        <v>#DIV/0!</v>
      </c>
      <c r="BE31" s="179"/>
      <c r="BF31" s="139">
        <f t="shared" si="11"/>
        <v>0</v>
      </c>
      <c r="BG31" s="140">
        <f t="shared" si="12"/>
        <v>0</v>
      </c>
      <c r="BH31" s="140">
        <f t="shared" si="13"/>
        <v>0</v>
      </c>
      <c r="BI31" s="140">
        <f t="shared" si="14"/>
        <v>0</v>
      </c>
      <c r="BJ31" s="140">
        <f t="shared" si="15"/>
        <v>0</v>
      </c>
      <c r="BK31" s="140">
        <f t="shared" si="16"/>
        <v>0</v>
      </c>
      <c r="BL31" s="140">
        <f t="shared" si="17"/>
        <v>0</v>
      </c>
      <c r="BM31" s="140">
        <f t="shared" si="18"/>
        <v>0</v>
      </c>
      <c r="BN31" s="140">
        <f t="shared" si="19"/>
        <v>0</v>
      </c>
      <c r="BO31" s="140">
        <f t="shared" si="20"/>
        <v>0</v>
      </c>
      <c r="BP31" s="140">
        <f t="shared" si="21"/>
        <v>0</v>
      </c>
      <c r="BQ31" s="140" t="e">
        <f t="shared" si="22"/>
        <v>#DIV/0!</v>
      </c>
      <c r="BR31" s="140">
        <f t="shared" si="23"/>
        <v>30</v>
      </c>
      <c r="BS31" s="141" t="e">
        <f t="shared" si="24"/>
        <v>#DIV/0!</v>
      </c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>
        <f t="shared" si="1"/>
        <v>0</v>
      </c>
      <c r="AO32" s="127">
        <f t="shared" si="1"/>
        <v>0</v>
      </c>
      <c r="AP32" s="128">
        <f t="shared" si="1"/>
        <v>0</v>
      </c>
      <c r="AQ32" s="127">
        <f t="shared" si="1"/>
        <v>0</v>
      </c>
      <c r="AR32" s="128">
        <f t="shared" si="1"/>
        <v>0</v>
      </c>
      <c r="AS32" s="160" t="e">
        <f t="shared" si="25"/>
        <v>#DIV/0!</v>
      </c>
      <c r="AT32" s="122" t="e">
        <f t="shared" si="26"/>
        <v>#DIV/0!</v>
      </c>
      <c r="AU32" s="122" t="e">
        <f t="shared" si="27"/>
        <v>#DIV/0!</v>
      </c>
      <c r="AV32" s="122" t="e">
        <f t="shared" si="2"/>
        <v>#DIV/0!</v>
      </c>
      <c r="AW32" s="122" t="e">
        <f t="shared" ref="AW32:AW38" si="44">(I32-J32)*40/H32</f>
        <v>#DIV/0!</v>
      </c>
      <c r="AX32" s="122" t="e">
        <f t="shared" ref="AX32:AX38" si="45">(K32-L32)*40/H32</f>
        <v>#DIV/0!</v>
      </c>
      <c r="AY32" s="122" t="e">
        <f t="shared" ref="AY32:AY38" si="46">(M32-N32)*40/H32</f>
        <v>#DIV/0!</v>
      </c>
      <c r="AZ32" s="161" t="e">
        <f t="shared" ref="AZ32:AZ38" si="47">(O32-P32)*40/H32</f>
        <v>#DIV/0!</v>
      </c>
      <c r="BA32" s="161" t="e">
        <f t="shared" ref="BA32:BA38" si="48">(Q32-R32)*40/H32</f>
        <v>#DIV/0!</v>
      </c>
      <c r="BB32" s="161" t="e">
        <f t="shared" ref="BB32:BB38" si="49">(S32-T32)*40/H32</f>
        <v>#DIV/0!</v>
      </c>
      <c r="BC32" s="161" t="e">
        <f t="shared" ref="BC32:BC38" si="50">(U32-V32)*40/H32</f>
        <v>#DIV/0!</v>
      </c>
      <c r="BD32" s="162" t="e">
        <f t="shared" ref="BD32:BD38" si="51">(W32-X32)*40/H32</f>
        <v>#DIV/0!</v>
      </c>
      <c r="BE32" s="179"/>
      <c r="BF32" s="139">
        <f t="shared" si="11"/>
        <v>0</v>
      </c>
      <c r="BG32" s="140">
        <f t="shared" si="12"/>
        <v>0</v>
      </c>
      <c r="BH32" s="140">
        <f t="shared" si="13"/>
        <v>0</v>
      </c>
      <c r="BI32" s="140">
        <f t="shared" si="14"/>
        <v>0</v>
      </c>
      <c r="BJ32" s="140">
        <f t="shared" si="15"/>
        <v>0</v>
      </c>
      <c r="BK32" s="140">
        <f t="shared" si="16"/>
        <v>0</v>
      </c>
      <c r="BL32" s="140">
        <f t="shared" si="17"/>
        <v>0</v>
      </c>
      <c r="BM32" s="140">
        <f t="shared" si="18"/>
        <v>0</v>
      </c>
      <c r="BN32" s="140">
        <f t="shared" si="19"/>
        <v>0</v>
      </c>
      <c r="BO32" s="140">
        <f t="shared" si="20"/>
        <v>0</v>
      </c>
      <c r="BP32" s="140">
        <f t="shared" si="21"/>
        <v>0</v>
      </c>
      <c r="BQ32" s="140" t="e">
        <f t="shared" si="22"/>
        <v>#DIV/0!</v>
      </c>
      <c r="BR32" s="140">
        <f t="shared" si="23"/>
        <v>30</v>
      </c>
      <c r="BS32" s="141" t="e">
        <f t="shared" si="24"/>
        <v>#DIV/0!</v>
      </c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>
        <f t="shared" si="1"/>
        <v>0</v>
      </c>
      <c r="AO33" s="127">
        <f t="shared" si="1"/>
        <v>0</v>
      </c>
      <c r="AP33" s="128">
        <f t="shared" si="1"/>
        <v>0</v>
      </c>
      <c r="AQ33" s="127">
        <f t="shared" si="1"/>
        <v>0</v>
      </c>
      <c r="AR33" s="128">
        <f t="shared" si="1"/>
        <v>0</v>
      </c>
      <c r="AS33" s="160" t="e">
        <f t="shared" si="25"/>
        <v>#DIV/0!</v>
      </c>
      <c r="AT33" s="122" t="e">
        <f t="shared" si="26"/>
        <v>#DIV/0!</v>
      </c>
      <c r="AU33" s="122" t="e">
        <f t="shared" si="27"/>
        <v>#DIV/0!</v>
      </c>
      <c r="AV33" s="122" t="e">
        <f t="shared" si="2"/>
        <v>#DIV/0!</v>
      </c>
      <c r="AW33" s="122" t="e">
        <f t="shared" si="44"/>
        <v>#DIV/0!</v>
      </c>
      <c r="AX33" s="122" t="e">
        <f t="shared" si="45"/>
        <v>#DIV/0!</v>
      </c>
      <c r="AY33" s="122" t="e">
        <f t="shared" si="46"/>
        <v>#DIV/0!</v>
      </c>
      <c r="AZ33" s="161" t="e">
        <f t="shared" si="47"/>
        <v>#DIV/0!</v>
      </c>
      <c r="BA33" s="161" t="e">
        <f t="shared" si="48"/>
        <v>#DIV/0!</v>
      </c>
      <c r="BB33" s="161" t="e">
        <f t="shared" si="49"/>
        <v>#DIV/0!</v>
      </c>
      <c r="BC33" s="161" t="e">
        <f t="shared" si="50"/>
        <v>#DIV/0!</v>
      </c>
      <c r="BD33" s="162" t="e">
        <f t="shared" si="51"/>
        <v>#DIV/0!</v>
      </c>
      <c r="BE33" s="179"/>
      <c r="BF33" s="139">
        <f t="shared" si="11"/>
        <v>0</v>
      </c>
      <c r="BG33" s="140">
        <f t="shared" si="12"/>
        <v>0</v>
      </c>
      <c r="BH33" s="140">
        <f t="shared" si="13"/>
        <v>0</v>
      </c>
      <c r="BI33" s="140">
        <f t="shared" si="14"/>
        <v>0</v>
      </c>
      <c r="BJ33" s="140">
        <f t="shared" si="15"/>
        <v>0</v>
      </c>
      <c r="BK33" s="140">
        <f t="shared" si="16"/>
        <v>0</v>
      </c>
      <c r="BL33" s="140">
        <f t="shared" si="17"/>
        <v>0</v>
      </c>
      <c r="BM33" s="140">
        <f t="shared" si="18"/>
        <v>0</v>
      </c>
      <c r="BN33" s="140">
        <f t="shared" si="19"/>
        <v>0</v>
      </c>
      <c r="BO33" s="140">
        <f t="shared" si="20"/>
        <v>0</v>
      </c>
      <c r="BP33" s="140">
        <f t="shared" si="21"/>
        <v>0</v>
      </c>
      <c r="BQ33" s="140" t="e">
        <f t="shared" si="22"/>
        <v>#DIV/0!</v>
      </c>
      <c r="BR33" s="140">
        <f t="shared" si="23"/>
        <v>30</v>
      </c>
      <c r="BS33" s="141" t="e">
        <f t="shared" si="24"/>
        <v>#DIV/0!</v>
      </c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>
        <f t="shared" si="1"/>
        <v>0</v>
      </c>
      <c r="AO34" s="127">
        <f t="shared" si="1"/>
        <v>0</v>
      </c>
      <c r="AP34" s="128">
        <f t="shared" si="1"/>
        <v>0</v>
      </c>
      <c r="AQ34" s="127">
        <f t="shared" si="1"/>
        <v>0</v>
      </c>
      <c r="AR34" s="128">
        <f t="shared" si="1"/>
        <v>0</v>
      </c>
      <c r="AS34" s="160" t="e">
        <f t="shared" si="25"/>
        <v>#DIV/0!</v>
      </c>
      <c r="AT34" s="122" t="e">
        <f t="shared" si="26"/>
        <v>#DIV/0!</v>
      </c>
      <c r="AU34" s="122" t="e">
        <f t="shared" si="27"/>
        <v>#DIV/0!</v>
      </c>
      <c r="AV34" s="122" t="e">
        <f t="shared" si="2"/>
        <v>#DIV/0!</v>
      </c>
      <c r="AW34" s="122" t="e">
        <f t="shared" si="44"/>
        <v>#DIV/0!</v>
      </c>
      <c r="AX34" s="122" t="e">
        <f t="shared" si="45"/>
        <v>#DIV/0!</v>
      </c>
      <c r="AY34" s="122" t="e">
        <f t="shared" si="46"/>
        <v>#DIV/0!</v>
      </c>
      <c r="AZ34" s="161" t="e">
        <f t="shared" si="47"/>
        <v>#DIV/0!</v>
      </c>
      <c r="BA34" s="161" t="e">
        <f t="shared" si="48"/>
        <v>#DIV/0!</v>
      </c>
      <c r="BB34" s="161" t="e">
        <f t="shared" si="49"/>
        <v>#DIV/0!</v>
      </c>
      <c r="BC34" s="161" t="e">
        <f t="shared" si="50"/>
        <v>#DIV/0!</v>
      </c>
      <c r="BD34" s="162" t="e">
        <f t="shared" si="51"/>
        <v>#DIV/0!</v>
      </c>
      <c r="BE34" s="179"/>
      <c r="BF34" s="139">
        <f t="shared" si="11"/>
        <v>0</v>
      </c>
      <c r="BG34" s="140">
        <f t="shared" si="12"/>
        <v>0</v>
      </c>
      <c r="BH34" s="140">
        <f t="shared" si="13"/>
        <v>0</v>
      </c>
      <c r="BI34" s="140">
        <f t="shared" si="14"/>
        <v>0</v>
      </c>
      <c r="BJ34" s="140">
        <f t="shared" si="15"/>
        <v>0</v>
      </c>
      <c r="BK34" s="140">
        <f t="shared" si="16"/>
        <v>0</v>
      </c>
      <c r="BL34" s="140">
        <f t="shared" si="17"/>
        <v>0</v>
      </c>
      <c r="BM34" s="140">
        <f t="shared" si="18"/>
        <v>0</v>
      </c>
      <c r="BN34" s="140">
        <f t="shared" si="19"/>
        <v>0</v>
      </c>
      <c r="BO34" s="140">
        <f t="shared" si="20"/>
        <v>0</v>
      </c>
      <c r="BP34" s="140">
        <f t="shared" si="21"/>
        <v>0</v>
      </c>
      <c r="BQ34" s="140" t="e">
        <f t="shared" si="22"/>
        <v>#DIV/0!</v>
      </c>
      <c r="BR34" s="140">
        <f t="shared" si="23"/>
        <v>30</v>
      </c>
      <c r="BS34" s="141" t="e">
        <f t="shared" si="24"/>
        <v>#DIV/0!</v>
      </c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>
        <f t="shared" si="1"/>
        <v>0</v>
      </c>
      <c r="AO35" s="127">
        <f t="shared" si="1"/>
        <v>0</v>
      </c>
      <c r="AP35" s="128">
        <f t="shared" si="1"/>
        <v>0</v>
      </c>
      <c r="AQ35" s="127">
        <f t="shared" si="1"/>
        <v>0</v>
      </c>
      <c r="AR35" s="128">
        <f t="shared" si="1"/>
        <v>0</v>
      </c>
      <c r="AS35" s="160" t="e">
        <f t="shared" si="25"/>
        <v>#DIV/0!</v>
      </c>
      <c r="AT35" s="122" t="e">
        <f t="shared" si="26"/>
        <v>#DIV/0!</v>
      </c>
      <c r="AU35" s="122" t="e">
        <f t="shared" si="27"/>
        <v>#DIV/0!</v>
      </c>
      <c r="AV35" s="122" t="e">
        <f t="shared" si="2"/>
        <v>#DIV/0!</v>
      </c>
      <c r="AW35" s="122" t="e">
        <f t="shared" si="44"/>
        <v>#DIV/0!</v>
      </c>
      <c r="AX35" s="122" t="e">
        <f t="shared" si="45"/>
        <v>#DIV/0!</v>
      </c>
      <c r="AY35" s="122" t="e">
        <f t="shared" si="46"/>
        <v>#DIV/0!</v>
      </c>
      <c r="AZ35" s="161" t="e">
        <f t="shared" si="47"/>
        <v>#DIV/0!</v>
      </c>
      <c r="BA35" s="161" t="e">
        <f t="shared" si="48"/>
        <v>#DIV/0!</v>
      </c>
      <c r="BB35" s="161" t="e">
        <f t="shared" si="49"/>
        <v>#DIV/0!</v>
      </c>
      <c r="BC35" s="161" t="e">
        <f t="shared" si="50"/>
        <v>#DIV/0!</v>
      </c>
      <c r="BD35" s="162" t="e">
        <f t="shared" si="51"/>
        <v>#DIV/0!</v>
      </c>
      <c r="BE35" s="179"/>
      <c r="BF35" s="139">
        <f t="shared" si="11"/>
        <v>0</v>
      </c>
      <c r="BG35" s="140">
        <f t="shared" si="12"/>
        <v>0</v>
      </c>
      <c r="BH35" s="140">
        <f t="shared" si="13"/>
        <v>0</v>
      </c>
      <c r="BI35" s="140">
        <f t="shared" si="14"/>
        <v>0</v>
      </c>
      <c r="BJ35" s="140">
        <f t="shared" si="15"/>
        <v>0</v>
      </c>
      <c r="BK35" s="140">
        <f t="shared" si="16"/>
        <v>0</v>
      </c>
      <c r="BL35" s="140">
        <f t="shared" si="17"/>
        <v>0</v>
      </c>
      <c r="BM35" s="140">
        <f t="shared" si="18"/>
        <v>0</v>
      </c>
      <c r="BN35" s="140">
        <f t="shared" si="19"/>
        <v>0</v>
      </c>
      <c r="BO35" s="140">
        <f t="shared" si="20"/>
        <v>0</v>
      </c>
      <c r="BP35" s="140">
        <f t="shared" si="21"/>
        <v>0</v>
      </c>
      <c r="BQ35" s="140" t="e">
        <f t="shared" si="22"/>
        <v>#DIV/0!</v>
      </c>
      <c r="BR35" s="140">
        <f t="shared" si="23"/>
        <v>30</v>
      </c>
      <c r="BS35" s="141" t="e">
        <f t="shared" si="24"/>
        <v>#DIV/0!</v>
      </c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>
        <f t="shared" si="1"/>
        <v>0</v>
      </c>
      <c r="AO36" s="127">
        <f t="shared" si="1"/>
        <v>0</v>
      </c>
      <c r="AP36" s="128">
        <f t="shared" si="1"/>
        <v>0</v>
      </c>
      <c r="AQ36" s="127">
        <f t="shared" si="1"/>
        <v>0</v>
      </c>
      <c r="AR36" s="128">
        <f t="shared" si="1"/>
        <v>0</v>
      </c>
      <c r="AS36" s="160" t="e">
        <f t="shared" si="25"/>
        <v>#DIV/0!</v>
      </c>
      <c r="AT36" s="122" t="e">
        <f t="shared" si="26"/>
        <v>#DIV/0!</v>
      </c>
      <c r="AU36" s="122" t="e">
        <f t="shared" si="27"/>
        <v>#DIV/0!</v>
      </c>
      <c r="AV36" s="122" t="e">
        <f t="shared" si="2"/>
        <v>#DIV/0!</v>
      </c>
      <c r="AW36" s="122" t="e">
        <f t="shared" si="44"/>
        <v>#DIV/0!</v>
      </c>
      <c r="AX36" s="122" t="e">
        <f t="shared" si="45"/>
        <v>#DIV/0!</v>
      </c>
      <c r="AY36" s="122" t="e">
        <f t="shared" si="46"/>
        <v>#DIV/0!</v>
      </c>
      <c r="AZ36" s="161" t="e">
        <f t="shared" si="47"/>
        <v>#DIV/0!</v>
      </c>
      <c r="BA36" s="161" t="e">
        <f t="shared" si="48"/>
        <v>#DIV/0!</v>
      </c>
      <c r="BB36" s="161" t="e">
        <f t="shared" si="49"/>
        <v>#DIV/0!</v>
      </c>
      <c r="BC36" s="161" t="e">
        <f t="shared" si="50"/>
        <v>#DIV/0!</v>
      </c>
      <c r="BD36" s="162" t="e">
        <f t="shared" si="51"/>
        <v>#DIV/0!</v>
      </c>
      <c r="BE36" s="179"/>
      <c r="BF36" s="139">
        <f t="shared" si="11"/>
        <v>0</v>
      </c>
      <c r="BG36" s="140">
        <f t="shared" si="12"/>
        <v>0</v>
      </c>
      <c r="BH36" s="140">
        <f t="shared" si="13"/>
        <v>0</v>
      </c>
      <c r="BI36" s="140">
        <f t="shared" si="14"/>
        <v>0</v>
      </c>
      <c r="BJ36" s="140">
        <f t="shared" si="15"/>
        <v>0</v>
      </c>
      <c r="BK36" s="140">
        <f t="shared" si="16"/>
        <v>0</v>
      </c>
      <c r="BL36" s="140">
        <f t="shared" si="17"/>
        <v>0</v>
      </c>
      <c r="BM36" s="140">
        <f t="shared" si="18"/>
        <v>0</v>
      </c>
      <c r="BN36" s="140">
        <f t="shared" si="19"/>
        <v>0</v>
      </c>
      <c r="BO36" s="140">
        <f t="shared" si="20"/>
        <v>0</v>
      </c>
      <c r="BP36" s="140">
        <f t="shared" si="21"/>
        <v>0</v>
      </c>
      <c r="BQ36" s="140" t="e">
        <f t="shared" si="22"/>
        <v>#DIV/0!</v>
      </c>
      <c r="BR36" s="140">
        <f t="shared" si="23"/>
        <v>30</v>
      </c>
      <c r="BS36" s="141" t="e">
        <f t="shared" si="24"/>
        <v>#DIV/0!</v>
      </c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>
        <f t="shared" si="1"/>
        <v>0</v>
      </c>
      <c r="AO37" s="127">
        <f t="shared" si="1"/>
        <v>0</v>
      </c>
      <c r="AP37" s="128">
        <f t="shared" si="1"/>
        <v>0</v>
      </c>
      <c r="AQ37" s="127">
        <f t="shared" si="1"/>
        <v>0</v>
      </c>
      <c r="AR37" s="128">
        <f t="shared" si="1"/>
        <v>0</v>
      </c>
      <c r="AS37" s="160" t="e">
        <f t="shared" si="25"/>
        <v>#DIV/0!</v>
      </c>
      <c r="AT37" s="122" t="e">
        <f t="shared" si="26"/>
        <v>#DIV/0!</v>
      </c>
      <c r="AU37" s="122" t="e">
        <f t="shared" si="27"/>
        <v>#DIV/0!</v>
      </c>
      <c r="AV37" s="122" t="e">
        <f t="shared" si="2"/>
        <v>#DIV/0!</v>
      </c>
      <c r="AW37" s="122" t="e">
        <f t="shared" si="44"/>
        <v>#DIV/0!</v>
      </c>
      <c r="AX37" s="122" t="e">
        <f t="shared" si="45"/>
        <v>#DIV/0!</v>
      </c>
      <c r="AY37" s="122" t="e">
        <f t="shared" si="46"/>
        <v>#DIV/0!</v>
      </c>
      <c r="AZ37" s="161" t="e">
        <f t="shared" si="47"/>
        <v>#DIV/0!</v>
      </c>
      <c r="BA37" s="161" t="e">
        <f t="shared" si="48"/>
        <v>#DIV/0!</v>
      </c>
      <c r="BB37" s="161" t="e">
        <f t="shared" si="49"/>
        <v>#DIV/0!</v>
      </c>
      <c r="BC37" s="161" t="e">
        <f t="shared" si="50"/>
        <v>#DIV/0!</v>
      </c>
      <c r="BD37" s="162" t="e">
        <f t="shared" si="51"/>
        <v>#DIV/0!</v>
      </c>
      <c r="BE37" s="179"/>
      <c r="BF37" s="139">
        <f t="shared" si="11"/>
        <v>0</v>
      </c>
      <c r="BG37" s="140">
        <f t="shared" si="12"/>
        <v>0</v>
      </c>
      <c r="BH37" s="140">
        <f t="shared" si="13"/>
        <v>0</v>
      </c>
      <c r="BI37" s="140">
        <f t="shared" si="14"/>
        <v>0</v>
      </c>
      <c r="BJ37" s="140">
        <f t="shared" si="15"/>
        <v>0</v>
      </c>
      <c r="BK37" s="140">
        <f t="shared" si="16"/>
        <v>0</v>
      </c>
      <c r="BL37" s="140">
        <f t="shared" si="17"/>
        <v>0</v>
      </c>
      <c r="BM37" s="140">
        <f t="shared" si="18"/>
        <v>0</v>
      </c>
      <c r="BN37" s="140">
        <f t="shared" si="19"/>
        <v>0</v>
      </c>
      <c r="BO37" s="140">
        <f t="shared" si="20"/>
        <v>0</v>
      </c>
      <c r="BP37" s="140">
        <f t="shared" si="21"/>
        <v>0</v>
      </c>
      <c r="BQ37" s="140" t="e">
        <f t="shared" si="22"/>
        <v>#DIV/0!</v>
      </c>
      <c r="BR37" s="140">
        <f t="shared" si="23"/>
        <v>30</v>
      </c>
      <c r="BS37" s="141" t="e">
        <f t="shared" si="24"/>
        <v>#DIV/0!</v>
      </c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80"/>
      <c r="G38" s="370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26">
        <f t="shared" si="1"/>
        <v>0</v>
      </c>
      <c r="AO38" s="127">
        <f t="shared" si="1"/>
        <v>0</v>
      </c>
      <c r="AP38" s="128">
        <f t="shared" si="1"/>
        <v>0</v>
      </c>
      <c r="AQ38" s="127">
        <f t="shared" si="1"/>
        <v>0</v>
      </c>
      <c r="AR38" s="128">
        <f t="shared" si="1"/>
        <v>0</v>
      </c>
      <c r="AS38" s="167" t="e">
        <f t="shared" si="25"/>
        <v>#DIV/0!</v>
      </c>
      <c r="AT38" s="168" t="e">
        <f t="shared" si="26"/>
        <v>#DIV/0!</v>
      </c>
      <c r="AU38" s="168" t="e">
        <f t="shared" si="27"/>
        <v>#DIV/0!</v>
      </c>
      <c r="AV38" s="168" t="e">
        <f t="shared" si="2"/>
        <v>#DIV/0!</v>
      </c>
      <c r="AW38" s="168" t="e">
        <f t="shared" si="44"/>
        <v>#DIV/0!</v>
      </c>
      <c r="AX38" s="168" t="e">
        <f t="shared" si="45"/>
        <v>#DIV/0!</v>
      </c>
      <c r="AY38" s="168" t="e">
        <f t="shared" si="46"/>
        <v>#DIV/0!</v>
      </c>
      <c r="AZ38" s="169" t="e">
        <f t="shared" si="47"/>
        <v>#DIV/0!</v>
      </c>
      <c r="BA38" s="169" t="e">
        <f t="shared" si="48"/>
        <v>#DIV/0!</v>
      </c>
      <c r="BB38" s="169" t="e">
        <f t="shared" si="49"/>
        <v>#DIV/0!</v>
      </c>
      <c r="BC38" s="169" t="e">
        <f t="shared" si="50"/>
        <v>#DIV/0!</v>
      </c>
      <c r="BD38" s="170" t="e">
        <f t="shared" si="51"/>
        <v>#DIV/0!</v>
      </c>
      <c r="BE38" s="179"/>
      <c r="BF38" s="139">
        <f t="shared" si="11"/>
        <v>0</v>
      </c>
      <c r="BG38" s="140">
        <f t="shared" si="12"/>
        <v>0</v>
      </c>
      <c r="BH38" s="140">
        <f t="shared" si="13"/>
        <v>0</v>
      </c>
      <c r="BI38" s="140">
        <f t="shared" si="14"/>
        <v>0</v>
      </c>
      <c r="BJ38" s="140">
        <f t="shared" si="15"/>
        <v>0</v>
      </c>
      <c r="BK38" s="140">
        <f t="shared" si="16"/>
        <v>0</v>
      </c>
      <c r="BL38" s="140">
        <f t="shared" si="17"/>
        <v>0</v>
      </c>
      <c r="BM38" s="140">
        <f t="shared" si="18"/>
        <v>0</v>
      </c>
      <c r="BN38" s="140">
        <f t="shared" si="19"/>
        <v>0</v>
      </c>
      <c r="BO38" s="140">
        <f t="shared" si="20"/>
        <v>0</v>
      </c>
      <c r="BP38" s="140">
        <f t="shared" si="21"/>
        <v>0</v>
      </c>
      <c r="BQ38" s="140" t="e">
        <f t="shared" si="22"/>
        <v>#DIV/0!</v>
      </c>
      <c r="BR38" s="140">
        <f t="shared" si="23"/>
        <v>30</v>
      </c>
      <c r="BS38" s="141" t="e">
        <f t="shared" si="24"/>
        <v>#DIV/0!</v>
      </c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23" orientation="landscape" r:id="rId1"/>
  <headerFooter alignWithMargins="0"/>
  <colBreaks count="2" manualBreakCount="2">
    <brk id="39" max="39" man="1"/>
    <brk id="57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A25"/>
  <sheetViews>
    <sheetView workbookViewId="0">
      <selection activeCell="B2" sqref="B2"/>
    </sheetView>
  </sheetViews>
  <sheetFormatPr defaultRowHeight="13" x14ac:dyDescent="0.2"/>
  <cols>
    <col min="1" max="1" width="8.7265625" customWidth="1"/>
  </cols>
  <sheetData>
    <row r="1" spans="1:53" ht="16" x14ac:dyDescent="0.2">
      <c r="A1" s="568"/>
      <c r="B1" s="577" t="s">
        <v>8</v>
      </c>
      <c r="C1" s="570" t="s">
        <v>9</v>
      </c>
      <c r="D1" s="571" t="s">
        <v>10</v>
      </c>
      <c r="E1" s="571" t="s">
        <v>11</v>
      </c>
      <c r="F1" s="572" t="s">
        <v>12</v>
      </c>
      <c r="G1" s="571" t="s">
        <v>13</v>
      </c>
      <c r="H1" s="571" t="s">
        <v>14</v>
      </c>
      <c r="I1" s="571" t="s">
        <v>15</v>
      </c>
      <c r="J1" s="569" t="s">
        <v>16</v>
      </c>
      <c r="K1" s="573" t="s">
        <v>17</v>
      </c>
      <c r="L1" s="574" t="s">
        <v>18</v>
      </c>
      <c r="M1" s="574" t="s">
        <v>19</v>
      </c>
      <c r="N1" s="574" t="s">
        <v>20</v>
      </c>
      <c r="O1" s="574" t="s">
        <v>21</v>
      </c>
      <c r="P1" s="574" t="s">
        <v>22</v>
      </c>
      <c r="Q1" s="574" t="s">
        <v>23</v>
      </c>
      <c r="R1" s="574" t="s">
        <v>24</v>
      </c>
      <c r="S1" s="574" t="s">
        <v>25</v>
      </c>
      <c r="T1" s="574" t="s">
        <v>26</v>
      </c>
      <c r="U1" s="574" t="s">
        <v>27</v>
      </c>
      <c r="V1" s="574" t="s">
        <v>28</v>
      </c>
      <c r="W1" s="574" t="s">
        <v>29</v>
      </c>
      <c r="X1" s="574" t="s">
        <v>30</v>
      </c>
      <c r="Y1" s="574" t="s">
        <v>31</v>
      </c>
      <c r="Z1" s="574" t="s">
        <v>32</v>
      </c>
      <c r="AA1" s="574" t="s">
        <v>33</v>
      </c>
      <c r="AB1" s="574" t="s">
        <v>34</v>
      </c>
      <c r="AC1" s="574" t="s">
        <v>35</v>
      </c>
      <c r="AD1" s="574" t="s">
        <v>36</v>
      </c>
      <c r="AE1" s="574" t="s">
        <v>37</v>
      </c>
      <c r="AF1" s="574" t="s">
        <v>38</v>
      </c>
      <c r="AG1" s="574" t="s">
        <v>39</v>
      </c>
      <c r="AH1" s="574" t="s">
        <v>40</v>
      </c>
      <c r="AI1" s="574" t="s">
        <v>41</v>
      </c>
      <c r="AJ1" s="575" t="s">
        <v>42</v>
      </c>
      <c r="AK1" s="575" t="s">
        <v>43</v>
      </c>
      <c r="AL1" s="575" t="s">
        <v>44</v>
      </c>
      <c r="AM1" s="575" t="s">
        <v>45</v>
      </c>
      <c r="AN1" s="574" t="s">
        <v>46</v>
      </c>
      <c r="AO1" s="575" t="s">
        <v>47</v>
      </c>
      <c r="AP1" s="570" t="s">
        <v>48</v>
      </c>
      <c r="AQ1" s="572" t="s">
        <v>49</v>
      </c>
      <c r="AR1" s="572" t="s">
        <v>50</v>
      </c>
      <c r="AS1" s="572" t="s">
        <v>51</v>
      </c>
      <c r="AT1" s="572" t="s">
        <v>52</v>
      </c>
      <c r="AU1" s="571" t="s">
        <v>53</v>
      </c>
      <c r="AV1" s="569" t="s">
        <v>54</v>
      </c>
      <c r="AW1" s="569" t="s">
        <v>55</v>
      </c>
      <c r="AX1" s="576" t="s">
        <v>56</v>
      </c>
      <c r="AY1" s="569" t="s">
        <v>57</v>
      </c>
      <c r="AZ1" s="577" t="s">
        <v>58</v>
      </c>
      <c r="BA1" s="566"/>
    </row>
    <row r="2" spans="1:53" x14ac:dyDescent="0.2">
      <c r="A2" t="s">
        <v>571</v>
      </c>
      <c r="B2" s="567">
        <f>土浦!D22</f>
        <v>23.728571428571431</v>
      </c>
      <c r="C2" s="565">
        <f>土浦!E22</f>
        <v>1.789642857142857E-2</v>
      </c>
      <c r="D2" s="564">
        <f>土浦!F22</f>
        <v>0.33342857142857146</v>
      </c>
      <c r="E2" s="564">
        <f>土浦!G22</f>
        <v>8.1127857142857156</v>
      </c>
      <c r="F2" s="564">
        <f>土浦!H22</f>
        <v>0.14415384615384613</v>
      </c>
      <c r="G2" s="564">
        <f>土浦!I22</f>
        <v>3.3261538461538462</v>
      </c>
      <c r="H2" s="564">
        <f>土浦!J22</f>
        <v>8.5384615384615392E-2</v>
      </c>
      <c r="I2" s="564">
        <f>土浦!K22</f>
        <v>2.1321428571428575E-2</v>
      </c>
      <c r="J2" s="564">
        <f>土浦!L22</f>
        <v>4.2714285714285719E-2</v>
      </c>
      <c r="K2" s="565" t="e">
        <f>土浦!M22</f>
        <v>#DIV/0!</v>
      </c>
      <c r="L2" s="564">
        <f>土浦!N22</f>
        <v>55.166666666666664</v>
      </c>
      <c r="M2" s="564" t="e">
        <f>土浦!O22</f>
        <v>#DIV/0!</v>
      </c>
      <c r="N2" s="564" t="e">
        <f>土浦!P22</f>
        <v>#DIV/0!</v>
      </c>
      <c r="O2" s="564" t="e">
        <f>土浦!Q22</f>
        <v>#DIV/0!</v>
      </c>
      <c r="P2" s="564">
        <f>土浦!R22</f>
        <v>1.3125E-2</v>
      </c>
      <c r="Q2" s="564">
        <f>土浦!S22</f>
        <v>12.875</v>
      </c>
      <c r="R2" s="564">
        <f>土浦!T22</f>
        <v>8.0192307692307701</v>
      </c>
      <c r="S2" s="564">
        <f>土浦!U22</f>
        <v>1.7263636363636363</v>
      </c>
      <c r="T2" s="564">
        <f>土浦!V22</f>
        <v>6.6123076923076933</v>
      </c>
      <c r="U2" s="564">
        <f>土浦!W22</f>
        <v>73.384615384615387</v>
      </c>
      <c r="V2" s="564">
        <f>土浦!X22</f>
        <v>1.0681818181818186</v>
      </c>
      <c r="W2" s="564">
        <f>土浦!Y22</f>
        <v>8.2333333333333325</v>
      </c>
      <c r="X2" s="564">
        <f>土浦!Z22</f>
        <v>3.4576923076923078</v>
      </c>
      <c r="Y2" s="564">
        <f>土浦!AA22</f>
        <v>32.5</v>
      </c>
      <c r="Z2" s="564">
        <f>土浦!AB22</f>
        <v>0.9821923076923077</v>
      </c>
      <c r="AA2" s="564">
        <f>土浦!AC22</f>
        <v>0.14853846153846154</v>
      </c>
      <c r="AB2" s="564" t="e">
        <f>土浦!AD22</f>
        <v>#DIV/0!</v>
      </c>
      <c r="AC2" s="564">
        <f>土浦!AE22</f>
        <v>0.69692307692307698</v>
      </c>
      <c r="AD2" s="564">
        <f>土浦!AF22</f>
        <v>1.2658333333333334</v>
      </c>
      <c r="AE2" s="564">
        <f>土浦!AG22</f>
        <v>3.0484615384615384E-2</v>
      </c>
      <c r="AF2" s="564">
        <f>土浦!AH22</f>
        <v>2.9069230769230767</v>
      </c>
      <c r="AG2" s="564">
        <f>土浦!AI22</f>
        <v>0.1038076923076923</v>
      </c>
      <c r="AH2" s="564">
        <f>土浦!AJ22</f>
        <v>0.18269230769230768</v>
      </c>
      <c r="AI2" s="564">
        <f>土浦!AK22</f>
        <v>3.4500000000000008E-3</v>
      </c>
      <c r="AJ2" s="564">
        <f>土浦!AL22</f>
        <v>7.038888888888889E-2</v>
      </c>
      <c r="AK2" s="564">
        <f>土浦!AM22</f>
        <v>0.32016666666666671</v>
      </c>
      <c r="AL2" s="564" t="e">
        <f>土浦!AN22</f>
        <v>#DIV/0!</v>
      </c>
      <c r="AM2" s="564">
        <f>土浦!AO22</f>
        <v>1.55E-2</v>
      </c>
      <c r="AN2" s="564">
        <f>土浦!AP22</f>
        <v>7.2166666666666659</v>
      </c>
      <c r="AO2" s="564" t="e">
        <f>土浦!AQ22</f>
        <v>#DIV/0!</v>
      </c>
      <c r="AP2" s="565">
        <f>土浦!AR22</f>
        <v>0.14354545454545453</v>
      </c>
      <c r="AQ2" s="564">
        <f>土浦!AS22</f>
        <v>1.5428571428571431</v>
      </c>
      <c r="AR2" s="564">
        <f>土浦!AT22</f>
        <v>0.78214285714285714</v>
      </c>
      <c r="AS2" s="564">
        <f>土浦!AU22</f>
        <v>0.80357142857142871</v>
      </c>
      <c r="AT2" s="564">
        <f>土浦!AV22</f>
        <v>1.0607142857142855</v>
      </c>
      <c r="AU2" s="564">
        <f>土浦!AW22</f>
        <v>1.7371428571428571</v>
      </c>
      <c r="AV2" s="564">
        <f>土浦!AX22</f>
        <v>0.20692307692307693</v>
      </c>
      <c r="AW2" s="564">
        <f>土浦!AY22</f>
        <v>5.5E-2</v>
      </c>
      <c r="AX2" s="565">
        <f>土浦!AZ22</f>
        <v>4.3285714285714283</v>
      </c>
      <c r="AY2" s="564">
        <f>土浦!BA22</f>
        <v>0.87999999999999989</v>
      </c>
      <c r="AZ2" s="567">
        <f>土浦!BB22</f>
        <v>3.4571428571428564</v>
      </c>
      <c r="BA2" s="566"/>
    </row>
    <row r="3" spans="1:53" x14ac:dyDescent="0.2">
      <c r="A3" t="s">
        <v>594</v>
      </c>
      <c r="B3" s="567">
        <f>真岡!D22</f>
        <v>20.178571428571427</v>
      </c>
      <c r="C3" s="565">
        <f>真岡!E22</f>
        <v>1.0999999999999998E-2</v>
      </c>
      <c r="D3" s="564">
        <f>真岡!F22</f>
        <v>0.12778571428571431</v>
      </c>
      <c r="E3" s="564">
        <f>真岡!G22</f>
        <v>7.2714285714285714</v>
      </c>
      <c r="F3" s="564">
        <f>真岡!H22</f>
        <v>9.9923076923076948E-2</v>
      </c>
      <c r="G3" s="564">
        <f>真岡!I22</f>
        <v>2.5799999999999996</v>
      </c>
      <c r="H3" s="564">
        <f>真岡!J22</f>
        <v>0.15478571428571428</v>
      </c>
      <c r="I3" s="564">
        <f>真岡!K22</f>
        <v>1.7950000000000004E-2</v>
      </c>
      <c r="J3" s="564">
        <f>真岡!L22</f>
        <v>2.7E-2</v>
      </c>
      <c r="K3" s="565">
        <f>真岡!M22</f>
        <v>102.5</v>
      </c>
      <c r="L3" s="564">
        <f>真岡!N22</f>
        <v>38.846153846153847</v>
      </c>
      <c r="M3" s="564" t="e">
        <f>真岡!O22</f>
        <v>#DIV/0!</v>
      </c>
      <c r="N3" s="564">
        <f>真岡!P22</f>
        <v>159</v>
      </c>
      <c r="O3" s="564">
        <f>真岡!Q22</f>
        <v>31.76923076923077</v>
      </c>
      <c r="P3" s="564">
        <f>真岡!R22</f>
        <v>0.21333333333333337</v>
      </c>
      <c r="Q3" s="564">
        <f>真岡!S22</f>
        <v>3.1541666666666668</v>
      </c>
      <c r="R3" s="564">
        <f>真岡!T22</f>
        <v>4.5792857142857146</v>
      </c>
      <c r="S3" s="564">
        <f>真岡!U22</f>
        <v>0.73541666666666672</v>
      </c>
      <c r="T3" s="564">
        <f>真岡!V22</f>
        <v>3.6664285714285714</v>
      </c>
      <c r="U3" s="564">
        <f>真岡!W22</f>
        <v>68.291666666666671</v>
      </c>
      <c r="V3" s="564">
        <f>真岡!X22</f>
        <v>5.5142857142857139E-2</v>
      </c>
      <c r="W3" s="564">
        <f>真岡!Y22</f>
        <v>2.2000000000000002</v>
      </c>
      <c r="X3" s="564">
        <f>真岡!Z22</f>
        <v>4.7153846153846155</v>
      </c>
      <c r="Y3" s="564">
        <f>真岡!AA22</f>
        <v>30.528571428571428</v>
      </c>
      <c r="Z3" s="564">
        <f>真岡!AB22</f>
        <v>0.93000000000000016</v>
      </c>
      <c r="AA3" s="564">
        <f>真岡!AC22</f>
        <v>1.8554545454545452</v>
      </c>
      <c r="AB3" s="564">
        <f>真岡!AD22</f>
        <v>0.24933333333333332</v>
      </c>
      <c r="AC3" s="564">
        <f>真岡!AE22</f>
        <v>0.46153846153846156</v>
      </c>
      <c r="AD3" s="564">
        <f>真岡!AF22</f>
        <v>1.3178571428571428</v>
      </c>
      <c r="AE3" s="564">
        <f>真岡!AG22</f>
        <v>4.9999999999999996E-2</v>
      </c>
      <c r="AF3" s="564">
        <f>真岡!AH22</f>
        <v>6.7507142857142863</v>
      </c>
      <c r="AG3" s="564">
        <f>真岡!AI22</f>
        <v>9.1249999999999998E-2</v>
      </c>
      <c r="AH3" s="564">
        <f>真岡!AJ22</f>
        <v>0.22890909090909092</v>
      </c>
      <c r="AI3" s="564">
        <f>真岡!AK22</f>
        <v>0.06</v>
      </c>
      <c r="AJ3" s="564">
        <f>真岡!AL22</f>
        <v>0.23571428571428574</v>
      </c>
      <c r="AK3" s="564">
        <f>真岡!AM22</f>
        <v>0.317</v>
      </c>
      <c r="AL3" s="564">
        <f>真岡!AN22</f>
        <v>0.3494444444444445</v>
      </c>
      <c r="AM3" s="564">
        <f>真岡!AO22</f>
        <v>7.4999999999999997E-2</v>
      </c>
      <c r="AN3" s="564">
        <f>真岡!AP22</f>
        <v>5.7271428571428578</v>
      </c>
      <c r="AO3" s="564">
        <f>真岡!AQ22</f>
        <v>0.14000000000000001</v>
      </c>
      <c r="AP3" s="565">
        <f>真岡!AR22</f>
        <v>0.21636363636363634</v>
      </c>
      <c r="AQ3" s="564">
        <f>真岡!AS22</f>
        <v>4.2499999999999996E-2</v>
      </c>
      <c r="AR3" s="564">
        <f>真岡!AT22</f>
        <v>1</v>
      </c>
      <c r="AS3" s="564">
        <f>真岡!AU22</f>
        <v>0.68</v>
      </c>
      <c r="AT3" s="564">
        <f>真岡!AV22</f>
        <v>0.3457142857142857</v>
      </c>
      <c r="AU3" s="564">
        <f>真岡!AW22</f>
        <v>1.9371428571428573</v>
      </c>
      <c r="AV3" s="564">
        <f>真岡!AX22</f>
        <v>2.0528571428571429</v>
      </c>
      <c r="AW3" s="564">
        <f>真岡!AY22</f>
        <v>1.0778571428571428</v>
      </c>
      <c r="AX3" s="565">
        <f>真岡!AZ22</f>
        <v>5.2928571428571429E-2</v>
      </c>
      <c r="AY3" s="564">
        <f>真岡!BA22</f>
        <v>3.964285714285714</v>
      </c>
      <c r="AZ3" s="567">
        <f>真岡!BB22</f>
        <v>1.2628636428571429</v>
      </c>
      <c r="BA3" s="566"/>
    </row>
    <row r="4" spans="1:53" x14ac:dyDescent="0.2">
      <c r="A4" t="s">
        <v>284</v>
      </c>
      <c r="B4" s="567">
        <f>前橋!D22</f>
        <v>14.561538461538463</v>
      </c>
      <c r="C4" s="565">
        <f>前橋!E22</f>
        <v>8.0000000000000002E-3</v>
      </c>
      <c r="D4" s="564">
        <f>前橋!F22</f>
        <v>0.136875</v>
      </c>
      <c r="E4" s="564">
        <f>前橋!G22</f>
        <v>3.7392857142857139</v>
      </c>
      <c r="F4" s="564">
        <f>前橋!H22</f>
        <v>2.3422222222222223E-2</v>
      </c>
      <c r="G4" s="564">
        <f>前橋!I22</f>
        <v>1.3485714285714285</v>
      </c>
      <c r="H4" s="564">
        <f>前橋!J22</f>
        <v>6.6100000000000006E-2</v>
      </c>
      <c r="I4" s="564">
        <f>前橋!K22</f>
        <v>7.4999999999999997E-3</v>
      </c>
      <c r="J4" s="564">
        <f>前橋!L22</f>
        <v>3.85E-2</v>
      </c>
      <c r="K4" s="565">
        <f>前橋!M22</f>
        <v>20.5</v>
      </c>
      <c r="L4" s="564">
        <f>前橋!N22</f>
        <v>64.75</v>
      </c>
      <c r="M4" s="564" t="e">
        <f>前橋!O22</f>
        <v>#DIV/0!</v>
      </c>
      <c r="N4" s="564">
        <f>前橋!P22</f>
        <v>59.5</v>
      </c>
      <c r="O4" s="564">
        <f>前橋!Q22</f>
        <v>96.875</v>
      </c>
      <c r="P4" s="564">
        <f>前橋!R22</f>
        <v>1.2888888888888892E-2</v>
      </c>
      <c r="Q4" s="564" t="e">
        <f>前橋!S22</f>
        <v>#DIV/0!</v>
      </c>
      <c r="R4" s="564">
        <f>前橋!T22</f>
        <v>1.9438461538461538</v>
      </c>
      <c r="S4" s="564">
        <f>前橋!U22</f>
        <v>0.92499999999999982</v>
      </c>
      <c r="T4" s="564">
        <f>前橋!V22</f>
        <v>3.345384615384615</v>
      </c>
      <c r="U4" s="564">
        <f>前橋!W22</f>
        <v>68.3</v>
      </c>
      <c r="V4" s="564">
        <f>前橋!X22</f>
        <v>0.16750000000000001</v>
      </c>
      <c r="W4" s="564">
        <f>前橋!Y22</f>
        <v>0.78249999999999997</v>
      </c>
      <c r="X4" s="564">
        <f>前橋!Z22</f>
        <v>2.2599999999999998</v>
      </c>
      <c r="Y4" s="564">
        <f>前橋!AA22</f>
        <v>13.825000000000001</v>
      </c>
      <c r="Z4" s="564">
        <f>前橋!AB22</f>
        <v>0.55307692307692302</v>
      </c>
      <c r="AA4" s="564">
        <f>前橋!AC22</f>
        <v>0.60416666666666674</v>
      </c>
      <c r="AB4" s="564">
        <f>前橋!AD22</f>
        <v>0.14936363636363637</v>
      </c>
      <c r="AC4" s="564">
        <f>前橋!AE22</f>
        <v>0.55000000000000004</v>
      </c>
      <c r="AD4" s="564" t="e">
        <f>前橋!AF22</f>
        <v>#DIV/0!</v>
      </c>
      <c r="AE4" s="564">
        <f>前橋!AG22</f>
        <v>1.7500000000000002E-2</v>
      </c>
      <c r="AF4" s="564">
        <f>前橋!AH22</f>
        <v>2.5976923076923075</v>
      </c>
      <c r="AG4" s="564">
        <f>前橋!AI22</f>
        <v>4.4181818181818176E-2</v>
      </c>
      <c r="AH4" s="564">
        <f>前橋!AJ22</f>
        <v>6.8545454545454548E-2</v>
      </c>
      <c r="AI4" s="564">
        <f>前橋!AK22</f>
        <v>4.4730769230769234E-3</v>
      </c>
      <c r="AJ4" s="564">
        <f>前橋!AL22</f>
        <v>1.1499999999999998E-2</v>
      </c>
      <c r="AK4" s="564">
        <f>前橋!AM22</f>
        <v>0.11581818181818183</v>
      </c>
      <c r="AL4" s="564">
        <f>前橋!AN22</f>
        <v>1.2499999999999999E-2</v>
      </c>
      <c r="AM4" s="564">
        <f>前橋!AO22</f>
        <v>0.01</v>
      </c>
      <c r="AN4" s="564">
        <f>前橋!AP22</f>
        <v>2.9890909090909088</v>
      </c>
      <c r="AO4" s="564" t="e">
        <f>前橋!AQ22</f>
        <v>#DIV/0!</v>
      </c>
      <c r="AP4" s="565">
        <f>前橋!AR22</f>
        <v>0.3446153846153846</v>
      </c>
      <c r="AQ4" s="564">
        <f>前橋!AS22</f>
        <v>1.0564285714285717</v>
      </c>
      <c r="AR4" s="564">
        <f>前橋!AT22</f>
        <v>0.92285714285714282</v>
      </c>
      <c r="AS4" s="564">
        <f>前橋!AU22</f>
        <v>0.5842857142857143</v>
      </c>
      <c r="AT4" s="564">
        <f>前橋!AV22</f>
        <v>0.99714285714285722</v>
      </c>
      <c r="AU4" s="564">
        <f>前橋!AW22</f>
        <v>1.2564285714285715</v>
      </c>
      <c r="AV4" s="564">
        <f>前橋!AX22</f>
        <v>0.92285714285714282</v>
      </c>
      <c r="AW4" s="564">
        <f>前橋!AY22</f>
        <v>9.0357142857142872E-2</v>
      </c>
      <c r="AX4" s="565">
        <f>前橋!AZ22</f>
        <v>3.878571428571429</v>
      </c>
      <c r="AY4" s="564">
        <f>前橋!BA22</f>
        <v>1.2728571428571429</v>
      </c>
      <c r="AZ4" s="567">
        <f>前橋!BB22</f>
        <v>2.5453846153846151</v>
      </c>
      <c r="BA4" s="566"/>
    </row>
    <row r="5" spans="1:53" x14ac:dyDescent="0.2">
      <c r="A5" t="s">
        <v>320</v>
      </c>
      <c r="B5" s="567">
        <f>館林!D22</f>
        <v>20.45</v>
      </c>
      <c r="C5" s="565">
        <f>館林!E22</f>
        <v>8.0000000000000002E-3</v>
      </c>
      <c r="D5" s="564">
        <f>館林!F22</f>
        <v>0.11161538461538462</v>
      </c>
      <c r="E5" s="564">
        <f>館林!G22</f>
        <v>5.757142857142858</v>
      </c>
      <c r="F5" s="564">
        <f>館林!H22</f>
        <v>7.3428571428571426E-2</v>
      </c>
      <c r="G5" s="564">
        <f>館林!I22</f>
        <v>1.9735714285714285</v>
      </c>
      <c r="H5" s="564">
        <f>館林!J22</f>
        <v>0.10472727272727274</v>
      </c>
      <c r="I5" s="564">
        <f>館林!K22</f>
        <v>1.6500000000000001E-2</v>
      </c>
      <c r="J5" s="564">
        <f>館林!L22</f>
        <v>4.3714285714285719E-2</v>
      </c>
      <c r="K5" s="565">
        <f>館林!M22</f>
        <v>96.428571428571431</v>
      </c>
      <c r="L5" s="564">
        <f>館林!N22</f>
        <v>52.666666666666664</v>
      </c>
      <c r="M5" s="564" t="e">
        <f>館林!O22</f>
        <v>#DIV/0!</v>
      </c>
      <c r="N5" s="564">
        <f>館林!P22</f>
        <v>139.35714285714286</v>
      </c>
      <c r="O5" s="564">
        <f>館林!Q22</f>
        <v>85</v>
      </c>
      <c r="P5" s="564">
        <f>館林!R22</f>
        <v>1.5000000000000001E-2</v>
      </c>
      <c r="Q5" s="564" t="e">
        <f>館林!S22</f>
        <v>#DIV/0!</v>
      </c>
      <c r="R5" s="564">
        <f>館林!T22</f>
        <v>4.371428571428571</v>
      </c>
      <c r="S5" s="564">
        <f>館林!U22</f>
        <v>1.2636363636363639</v>
      </c>
      <c r="T5" s="564">
        <f>館林!V22</f>
        <v>6.3</v>
      </c>
      <c r="U5" s="564">
        <f>館林!W22</f>
        <v>85.214285714285708</v>
      </c>
      <c r="V5" s="564">
        <f>館林!X22</f>
        <v>0.115</v>
      </c>
      <c r="W5" s="564">
        <f>館林!Y22</f>
        <v>1.6027272727272726</v>
      </c>
      <c r="X5" s="564">
        <f>館林!Z22</f>
        <v>3.5571428571428565</v>
      </c>
      <c r="Y5" s="564">
        <f>館林!AA22</f>
        <v>39.214285714285715</v>
      </c>
      <c r="Z5" s="564">
        <f>館林!AB22</f>
        <v>0.90642857142857147</v>
      </c>
      <c r="AA5" s="564">
        <f>館林!AC22</f>
        <v>1.0214285714285714</v>
      </c>
      <c r="AB5" s="564">
        <f>館林!AD22</f>
        <v>0.22071428571428572</v>
      </c>
      <c r="AC5" s="564">
        <f>館林!AE22</f>
        <v>0.72785714285714287</v>
      </c>
      <c r="AD5" s="564" t="e">
        <f>館林!AF22</f>
        <v>#DIV/0!</v>
      </c>
      <c r="AE5" s="564">
        <f>館林!AG22</f>
        <v>2.6642857142857142E-2</v>
      </c>
      <c r="AF5" s="564">
        <f>館林!AH22</f>
        <v>6.8071428571428569</v>
      </c>
      <c r="AG5" s="564">
        <f>館林!AI22</f>
        <v>8.5214285714285715E-2</v>
      </c>
      <c r="AH5" s="564">
        <f>館林!AJ22</f>
        <v>0.12171428571428573</v>
      </c>
      <c r="AI5" s="564">
        <f>館林!AK22</f>
        <v>4.2583333333333336E-3</v>
      </c>
      <c r="AJ5" s="564">
        <f>館林!AL22</f>
        <v>1.1499999999999998E-2</v>
      </c>
      <c r="AK5" s="564">
        <f>館林!AM22</f>
        <v>0.19466666666666665</v>
      </c>
      <c r="AL5" s="564">
        <f>館林!AN22</f>
        <v>1.2499999999999999E-2</v>
      </c>
      <c r="AM5" s="564">
        <f>館林!AO22</f>
        <v>0.01</v>
      </c>
      <c r="AN5" s="564">
        <f>館林!AP22</f>
        <v>4.6357142857142861</v>
      </c>
      <c r="AO5" s="564" t="e">
        <f>館林!AQ22</f>
        <v>#DIV/0!</v>
      </c>
      <c r="AP5" s="565">
        <f>館林!AR22</f>
        <v>0.36428571428571427</v>
      </c>
      <c r="AQ5" s="564">
        <f>館林!AS22</f>
        <v>1.4007142857142856</v>
      </c>
      <c r="AR5" s="564">
        <f>館林!AT22</f>
        <v>1.0935714285714286</v>
      </c>
      <c r="AS5" s="564">
        <f>館林!AU22</f>
        <v>0.71071428571428552</v>
      </c>
      <c r="AT5" s="564">
        <f>館林!AV22</f>
        <v>1.2350000000000001</v>
      </c>
      <c r="AU5" s="564">
        <f>館林!AW22</f>
        <v>1.9092857142857143</v>
      </c>
      <c r="AV5" s="564">
        <f>館林!AX22</f>
        <v>0.88857142857142868</v>
      </c>
      <c r="AW5" s="564">
        <f>館林!AY22</f>
        <v>0.10042857142857145</v>
      </c>
      <c r="AX5" s="565">
        <f>館林!AZ22</f>
        <v>4.8285714285714292</v>
      </c>
      <c r="AY5" s="564">
        <f>館林!BA22</f>
        <v>1.6635714285714285</v>
      </c>
      <c r="AZ5" s="567">
        <f>館林!BB22</f>
        <v>3.1878571428571427</v>
      </c>
      <c r="BA5" s="566"/>
    </row>
    <row r="6" spans="1:53" x14ac:dyDescent="0.2">
      <c r="A6" t="s">
        <v>100</v>
      </c>
      <c r="B6" s="567">
        <f>鴻巣!D22</f>
        <v>21</v>
      </c>
      <c r="C6" s="565">
        <f>鴻巣!E22</f>
        <v>2.2999999999999996E-2</v>
      </c>
      <c r="D6" s="564">
        <f>鴻巣!F22</f>
        <v>0.17121428571428571</v>
      </c>
      <c r="E6" s="564">
        <f>鴻巣!G22</f>
        <v>7.6571428571428566</v>
      </c>
      <c r="F6" s="564">
        <f>鴻巣!H22</f>
        <v>9.0142857142857122E-2</v>
      </c>
      <c r="G6" s="564">
        <f>鴻巣!I22</f>
        <v>2.8357142857142854</v>
      </c>
      <c r="H6" s="564">
        <f>鴻巣!J22</f>
        <v>0.14164285714285713</v>
      </c>
      <c r="I6" s="564">
        <f>鴻巣!K22</f>
        <v>8.257142857142857E-3</v>
      </c>
      <c r="J6" s="564">
        <f>鴻巣!L22</f>
        <v>1.4478571428571427E-2</v>
      </c>
      <c r="K6" s="565">
        <f>鴻巣!M22</f>
        <v>88.642857142857139</v>
      </c>
      <c r="L6" s="564">
        <f>鴻巣!N22</f>
        <v>19.8</v>
      </c>
      <c r="M6" s="564" t="e">
        <f>鴻巣!O22</f>
        <v>#DIV/0!</v>
      </c>
      <c r="N6" s="564">
        <f>鴻巣!P22</f>
        <v>95.285714285714292</v>
      </c>
      <c r="O6" s="564">
        <f>鴻巣!Q22</f>
        <v>4.8038461538461537</v>
      </c>
      <c r="P6" s="564">
        <f>鴻巣!R22</f>
        <v>1.4500000000000001E-2</v>
      </c>
      <c r="Q6" s="564">
        <f>鴻巣!S22</f>
        <v>2.0671428571428572</v>
      </c>
      <c r="R6" s="564">
        <f>鴻巣!T22</f>
        <v>4.7678571428571432</v>
      </c>
      <c r="S6" s="564">
        <f>鴻巣!U22</f>
        <v>1.0058333333333334</v>
      </c>
      <c r="T6" s="564">
        <f>鴻巣!V22</f>
        <v>4.5285714285714294</v>
      </c>
      <c r="U6" s="564">
        <f>鴻巣!W22</f>
        <v>69.571428571428569</v>
      </c>
      <c r="V6" s="564">
        <f>鴻巣!X22</f>
        <v>7.6875000000000013E-2</v>
      </c>
      <c r="W6" s="564">
        <f>鴻巣!Y22</f>
        <v>2.5361538461538462</v>
      </c>
      <c r="X6" s="564">
        <f>鴻巣!Z22</f>
        <v>5.2500000000000009</v>
      </c>
      <c r="Y6" s="564">
        <f>鴻巣!AA22</f>
        <v>37.521428571428565</v>
      </c>
      <c r="Z6" s="564">
        <f>鴻巣!AB22</f>
        <v>0.78785714285714281</v>
      </c>
      <c r="AA6" s="564">
        <f>鴻巣!AC22</f>
        <v>1.1299999999999999</v>
      </c>
      <c r="AB6" s="564">
        <f>鴻巣!AD22</f>
        <v>0.45909090909090916</v>
      </c>
      <c r="AC6" s="564">
        <f>鴻巣!AE22</f>
        <v>1.3185714285714287</v>
      </c>
      <c r="AD6" s="564">
        <f>鴻巣!AF22</f>
        <v>1.297857142857143</v>
      </c>
      <c r="AE6" s="564">
        <f>鴻巣!AG22</f>
        <v>5.0812500000000003E-2</v>
      </c>
      <c r="AF6" s="564">
        <f>鴻巣!AH22</f>
        <v>6.4318181818181817</v>
      </c>
      <c r="AG6" s="564">
        <f>鴻巣!AI22</f>
        <v>8.6444444444444435E-2</v>
      </c>
      <c r="AH6" s="564">
        <f>鴻巣!AJ22</f>
        <v>0.10433333333333333</v>
      </c>
      <c r="AI6" s="564">
        <f>鴻巣!AK22</f>
        <v>1.7500000000000002E-2</v>
      </c>
      <c r="AJ6" s="564">
        <f>鴻巣!AL22</f>
        <v>0.01</v>
      </c>
      <c r="AK6" s="564">
        <f>鴻巣!AM22</f>
        <v>0.23700000000000002</v>
      </c>
      <c r="AL6" s="564">
        <f>鴻巣!AN22</f>
        <v>1.4E-2</v>
      </c>
      <c r="AM6" s="564">
        <f>鴻巣!AO22</f>
        <v>3.95E-2</v>
      </c>
      <c r="AN6" s="564">
        <f>鴻巣!AP22</f>
        <v>9.9928571428571438</v>
      </c>
      <c r="AO6" s="564" t="e">
        <f>鴻巣!AQ22</f>
        <v>#DIV/0!</v>
      </c>
      <c r="AP6" s="565">
        <f>鴻巣!AR22</f>
        <v>6.7142857142857143E-2</v>
      </c>
      <c r="AQ6" s="564">
        <f>鴻巣!AS22</f>
        <v>1.5735714285714284</v>
      </c>
      <c r="AR6" s="564">
        <f>鴻巣!AT22</f>
        <v>1.0507142857142857</v>
      </c>
      <c r="AS6" s="564">
        <f>鴻巣!AU22</f>
        <v>0.70285714285714285</v>
      </c>
      <c r="AT6" s="564">
        <f>鴻巣!AV22</f>
        <v>1.0549999999999999</v>
      </c>
      <c r="AU6" s="564">
        <f>鴻巣!AW22</f>
        <v>1.6600000000000001</v>
      </c>
      <c r="AV6" s="564">
        <f>鴻巣!AX22</f>
        <v>0.78785714285714281</v>
      </c>
      <c r="AW6" s="564">
        <f>鴻巣!AY22</f>
        <v>5.8214285714285711E-2</v>
      </c>
      <c r="AX6" s="565">
        <f>鴻巣!AZ22</f>
        <v>4.4571428571428573</v>
      </c>
      <c r="AY6" s="564">
        <f>鴻巣!BA22</f>
        <v>1.4514285714285717</v>
      </c>
      <c r="AZ6" s="567" t="e">
        <f>鴻巣!BB22</f>
        <v>#DIV/0!</v>
      </c>
      <c r="BA6" s="566"/>
    </row>
    <row r="7" spans="1:53" x14ac:dyDescent="0.2">
      <c r="A7" t="s">
        <v>213</v>
      </c>
      <c r="B7" s="567">
        <f>幸手!D22</f>
        <v>21.657142857142855</v>
      </c>
      <c r="C7" s="565">
        <f>幸手!E22</f>
        <v>2.2999999999999996E-2</v>
      </c>
      <c r="D7" s="564">
        <f>幸手!F22</f>
        <v>0.22207142857142861</v>
      </c>
      <c r="E7" s="564">
        <f>幸手!G22</f>
        <v>7.6642857142857137</v>
      </c>
      <c r="F7" s="564">
        <f>幸手!H22</f>
        <v>0.10264285714285715</v>
      </c>
      <c r="G7" s="564">
        <f>幸手!I22</f>
        <v>2.8107142857142859</v>
      </c>
      <c r="H7" s="564">
        <f>幸手!J22</f>
        <v>0.15628571428571428</v>
      </c>
      <c r="I7" s="564">
        <f>幸手!K22</f>
        <v>8.275384615384615E-3</v>
      </c>
      <c r="J7" s="564">
        <f>幸手!L22</f>
        <v>1.679230769230769E-2</v>
      </c>
      <c r="K7" s="565">
        <f>幸手!M22</f>
        <v>84.071428571428569</v>
      </c>
      <c r="L7" s="564">
        <f>幸手!N22</f>
        <v>22.326923076923077</v>
      </c>
      <c r="M7" s="564" t="e">
        <f>幸手!O22</f>
        <v>#DIV/0!</v>
      </c>
      <c r="N7" s="564">
        <f>幸手!P22</f>
        <v>106.92307692307692</v>
      </c>
      <c r="O7" s="564">
        <f>幸手!Q22</f>
        <v>7.9192307692307686</v>
      </c>
      <c r="P7" s="564">
        <f>幸手!R22</f>
        <v>1.4500000000000001E-2</v>
      </c>
      <c r="Q7" s="564">
        <f>幸手!S22</f>
        <v>3.1100000000000003</v>
      </c>
      <c r="R7" s="564">
        <f>幸手!T22</f>
        <v>5.9942857142857147</v>
      </c>
      <c r="S7" s="564">
        <f>幸手!U22</f>
        <v>1.3033333333333335</v>
      </c>
      <c r="T7" s="564">
        <f>幸手!V22</f>
        <v>4.5621428571428586</v>
      </c>
      <c r="U7" s="564">
        <f>幸手!W22</f>
        <v>93.84615384615384</v>
      </c>
      <c r="V7" s="564">
        <f>幸手!X22</f>
        <v>7.1250000000000008E-2</v>
      </c>
      <c r="W7" s="564">
        <f>幸手!Y22</f>
        <v>2.5416666666666665</v>
      </c>
      <c r="X7" s="564">
        <f>幸手!Z22</f>
        <v>7.2357142857142858</v>
      </c>
      <c r="Y7" s="564">
        <f>幸手!AA22</f>
        <v>46.092857142857142</v>
      </c>
      <c r="Z7" s="564">
        <f>幸手!AB22</f>
        <v>0.51153846153846161</v>
      </c>
      <c r="AA7" s="564">
        <f>幸手!AC22</f>
        <v>0.72538461538461552</v>
      </c>
      <c r="AB7" s="564">
        <f>幸手!AD22</f>
        <v>0.48333333333333328</v>
      </c>
      <c r="AC7" s="564">
        <f>幸手!AE22</f>
        <v>0.98692307692307679</v>
      </c>
      <c r="AD7" s="564">
        <f>幸手!AF22</f>
        <v>0.74857142857142855</v>
      </c>
      <c r="AE7" s="564">
        <f>幸手!AG22</f>
        <v>3.95E-2</v>
      </c>
      <c r="AF7" s="564">
        <f>幸手!AH22</f>
        <v>6.4884615384615394</v>
      </c>
      <c r="AG7" s="564">
        <f>幸手!AI22</f>
        <v>8.5416666666666682E-2</v>
      </c>
      <c r="AH7" s="564">
        <f>幸手!AJ22</f>
        <v>9.4999999999999987E-2</v>
      </c>
      <c r="AI7" s="564">
        <f>幸手!AK22</f>
        <v>1.7500000000000002E-2</v>
      </c>
      <c r="AJ7" s="564">
        <f>幸手!AL22</f>
        <v>0.01</v>
      </c>
      <c r="AK7" s="564">
        <f>幸手!AM22</f>
        <v>1.6337272727272727</v>
      </c>
      <c r="AL7" s="564">
        <f>幸手!AN22</f>
        <v>1.9625000000000004E-2</v>
      </c>
      <c r="AM7" s="564">
        <f>幸手!AO22</f>
        <v>3.95E-2</v>
      </c>
      <c r="AN7" s="564">
        <f>幸手!AP22</f>
        <v>10.257142857142858</v>
      </c>
      <c r="AO7" s="564" t="e">
        <f>幸手!AQ22</f>
        <v>#DIV/0!</v>
      </c>
      <c r="AP7" s="565">
        <f>幸手!AR22</f>
        <v>2.4714285714285713E-2</v>
      </c>
      <c r="AQ7" s="564">
        <f>幸手!AS22</f>
        <v>1.3314285714285712</v>
      </c>
      <c r="AR7" s="564">
        <f>幸手!AT22</f>
        <v>0.93071428571428572</v>
      </c>
      <c r="AS7" s="564">
        <f>幸手!AU22</f>
        <v>0.63285714285714278</v>
      </c>
      <c r="AT7" s="564">
        <f>幸手!AV22</f>
        <v>0.97214285714285698</v>
      </c>
      <c r="AU7" s="564">
        <f>幸手!AW22</f>
        <v>1.7271428571428571</v>
      </c>
      <c r="AV7" s="564">
        <f>幸手!AX22</f>
        <v>0.79285714285714293</v>
      </c>
      <c r="AW7" s="564">
        <f>幸手!AY22</f>
        <v>3.9285714285714278E-2</v>
      </c>
      <c r="AX7" s="565">
        <f>幸手!AZ22</f>
        <v>3.8999999999999995</v>
      </c>
      <c r="AY7" s="564">
        <f>幸手!BA22</f>
        <v>1.5921428571428571</v>
      </c>
      <c r="AZ7" s="567" t="e">
        <f>幸手!BB22</f>
        <v>#DIV/0!</v>
      </c>
      <c r="BA7" s="566"/>
    </row>
    <row r="8" spans="1:53" x14ac:dyDescent="0.2">
      <c r="A8" t="s">
        <v>595</v>
      </c>
      <c r="B8" s="567">
        <f>さいたま!D22</f>
        <v>22.814285714285713</v>
      </c>
      <c r="C8" s="565">
        <f>さいたま!E22</f>
        <v>2.0371428571428575E-2</v>
      </c>
      <c r="D8" s="564">
        <f>さいたま!F22</f>
        <v>0.35714285714285721</v>
      </c>
      <c r="E8" s="564">
        <f>さいたま!G22</f>
        <v>7.2499999999999991</v>
      </c>
      <c r="F8" s="564">
        <f>さいたま!H22</f>
        <v>0.12264285714285715</v>
      </c>
      <c r="G8" s="564">
        <f>さいたま!I22</f>
        <v>2.5414285714285714</v>
      </c>
      <c r="H8" s="564">
        <f>さいたま!J22</f>
        <v>0.1547857142857143</v>
      </c>
      <c r="I8" s="564">
        <f>さいたま!K22</f>
        <v>2.330714285714286E-2</v>
      </c>
      <c r="J8" s="564">
        <f>さいたま!L22</f>
        <v>0.15685714285714286</v>
      </c>
      <c r="K8" s="565">
        <f>さいたま!M22</f>
        <v>138</v>
      </c>
      <c r="L8" s="564">
        <f>さいたま!N22</f>
        <v>128.78571428571428</v>
      </c>
      <c r="M8" s="564">
        <f>さいたま!O22</f>
        <v>198.35714285714286</v>
      </c>
      <c r="N8" s="564">
        <f>さいたま!P22</f>
        <v>176.85714285714286</v>
      </c>
      <c r="O8" s="564">
        <f>さいたま!Q22</f>
        <v>157.64285714285714</v>
      </c>
      <c r="P8" s="564">
        <f>さいたま!R22</f>
        <v>8.9999999999999983E-2</v>
      </c>
      <c r="Q8" s="564">
        <f>さいたま!S22</f>
        <v>13.314285714285713</v>
      </c>
      <c r="R8" s="564">
        <f>さいたま!T22</f>
        <v>7.3999999999999995</v>
      </c>
      <c r="S8" s="564">
        <f>さいたま!U22</f>
        <v>1.6715384615384616</v>
      </c>
      <c r="T8" s="564">
        <f>さいたま!V22</f>
        <v>7.1714285714285717</v>
      </c>
      <c r="U8" s="564">
        <f>さいたま!W22</f>
        <v>187.14285714285714</v>
      </c>
      <c r="V8" s="564">
        <f>さいたま!X22</f>
        <v>0.1002142857142857</v>
      </c>
      <c r="W8" s="564">
        <f>さいたま!Y22</f>
        <v>2.7399999999999998</v>
      </c>
      <c r="X8" s="564">
        <f>さいたま!Z22</f>
        <v>7.0714285714285712</v>
      </c>
      <c r="Y8" s="564">
        <f>さいたま!AA22</f>
        <v>36.307142857142857</v>
      </c>
      <c r="Z8" s="564">
        <f>さいたま!AB22</f>
        <v>0.98071428571428587</v>
      </c>
      <c r="AA8" s="564">
        <f>さいたま!AC22</f>
        <v>1.3007692307692307</v>
      </c>
      <c r="AB8" s="564">
        <f>さいたま!AD22</f>
        <v>0.27</v>
      </c>
      <c r="AC8" s="564">
        <f>さいたま!AE22</f>
        <v>0.97499999999999987</v>
      </c>
      <c r="AD8" s="564">
        <f>さいたま!AF22</f>
        <v>1.7035714285714285</v>
      </c>
      <c r="AE8" s="564">
        <f>さいたま!AG22</f>
        <v>3.7999999999999992E-2</v>
      </c>
      <c r="AF8" s="564">
        <f>さいたま!AH22</f>
        <v>11.671428571428573</v>
      </c>
      <c r="AG8" s="564">
        <f>さいたま!AI22</f>
        <v>0.17878571428571427</v>
      </c>
      <c r="AH8" s="564">
        <f>さいたま!AJ22</f>
        <v>0.23428571428571426</v>
      </c>
      <c r="AI8" s="564">
        <f>さいたま!AK22</f>
        <v>6.4999999999999997E-3</v>
      </c>
      <c r="AJ8" s="564">
        <f>さいたま!AL22</f>
        <v>9.6071428571428558E-3</v>
      </c>
      <c r="AK8" s="564">
        <f>さいたま!AM22</f>
        <v>0.29923076923076919</v>
      </c>
      <c r="AL8" s="564">
        <f>さいたま!AN22</f>
        <v>2.2666666666666664E-3</v>
      </c>
      <c r="AM8" s="564">
        <f>さいたま!AO22</f>
        <v>5.3714285714285713E-3</v>
      </c>
      <c r="AN8" s="564">
        <f>さいたま!AP22</f>
        <v>6.9142857142857137</v>
      </c>
      <c r="AO8" s="564">
        <f>さいたま!AQ22</f>
        <v>0.17935714285714285</v>
      </c>
      <c r="AP8" s="565">
        <f>さいたま!AR22</f>
        <v>8.5615384615384621E-2</v>
      </c>
      <c r="AQ8" s="564">
        <f>さいたま!AS22</f>
        <v>1.6564285714285716</v>
      </c>
      <c r="AR8" s="564">
        <f>さいたま!AT22</f>
        <v>0.92071428571428571</v>
      </c>
      <c r="AS8" s="564">
        <f>さいたま!AU22</f>
        <v>0.65571428571428569</v>
      </c>
      <c r="AT8" s="564">
        <f>さいたま!AV22</f>
        <v>1.2985714285714285</v>
      </c>
      <c r="AU8" s="564">
        <f>さいたま!AW22</f>
        <v>1.7221428571428568</v>
      </c>
      <c r="AV8" s="564">
        <f>さいたま!AX22</f>
        <v>0.98142857142857143</v>
      </c>
      <c r="AW8" s="564">
        <f>さいたま!AY22</f>
        <v>9.5357142857142849E-2</v>
      </c>
      <c r="AX8" s="565">
        <f>さいたま!AZ22</f>
        <v>4.6142857142857148</v>
      </c>
      <c r="AY8" s="564">
        <f>さいたま!BA22</f>
        <v>1.4978571428571428</v>
      </c>
      <c r="AZ8" s="567" t="e">
        <f>さいたま!BB22</f>
        <v>#DIV/0!</v>
      </c>
      <c r="BA8" s="566"/>
    </row>
    <row r="9" spans="1:53" x14ac:dyDescent="0.2">
      <c r="A9" t="s">
        <v>525</v>
      </c>
      <c r="B9" s="567">
        <f>市原!D22</f>
        <v>23.035714285714285</v>
      </c>
      <c r="C9" s="565">
        <f>市原!E22</f>
        <v>4.7999999999999994E-2</v>
      </c>
      <c r="D9" s="564">
        <f>市原!F22</f>
        <v>7.9699999999999993E-2</v>
      </c>
      <c r="E9" s="564">
        <f>市原!G22</f>
        <v>8.4428571428571413</v>
      </c>
      <c r="F9" s="564">
        <f>市原!H22</f>
        <v>0.159</v>
      </c>
      <c r="G9" s="564">
        <f>市原!I22</f>
        <v>3.0142857142857147</v>
      </c>
      <c r="H9" s="564">
        <f>市原!J22</f>
        <v>0.10185714285714287</v>
      </c>
      <c r="I9" s="564">
        <f>市原!K22</f>
        <v>1.7857142857142856E-2</v>
      </c>
      <c r="J9" s="564">
        <f>市原!L22</f>
        <v>0.10514285714285716</v>
      </c>
      <c r="K9" s="565">
        <f>市原!M22</f>
        <v>190.71428571428572</v>
      </c>
      <c r="L9" s="564">
        <f>市原!N22</f>
        <v>52.707142857142856</v>
      </c>
      <c r="M9" s="564">
        <f>市原!O22</f>
        <v>144</v>
      </c>
      <c r="N9" s="564">
        <f>市原!P22</f>
        <v>136.85714285714286</v>
      </c>
      <c r="O9" s="564">
        <f>市原!Q22</f>
        <v>135.07142857142858</v>
      </c>
      <c r="P9" s="564">
        <f>市原!R22</f>
        <v>4.9999999999999996E-2</v>
      </c>
      <c r="Q9" s="564">
        <f>市原!S22</f>
        <v>9.7714285714285722</v>
      </c>
      <c r="R9" s="564">
        <f>市原!T22</f>
        <v>15.900000000000002</v>
      </c>
      <c r="S9" s="564">
        <f>市原!U22</f>
        <v>2.4857142857142862</v>
      </c>
      <c r="T9" s="564">
        <f>市原!V22</f>
        <v>8.7214285714285715</v>
      </c>
      <c r="U9" s="564">
        <f>市原!W22</f>
        <v>259.28571428571428</v>
      </c>
      <c r="V9" s="564">
        <f>市原!X22</f>
        <v>0.18657142857142855</v>
      </c>
      <c r="W9" s="564">
        <f>市原!Y22</f>
        <v>4.6928571428571431</v>
      </c>
      <c r="X9" s="564">
        <f>市原!Z22</f>
        <v>3.8538461538461539</v>
      </c>
      <c r="Y9" s="564">
        <f>市原!AA22</f>
        <v>65.142857142857139</v>
      </c>
      <c r="Z9" s="564">
        <f>市原!AB22</f>
        <v>0.81571428571428573</v>
      </c>
      <c r="AA9" s="564">
        <f>市原!AC22</f>
        <v>1.2763636363636364</v>
      </c>
      <c r="AB9" s="564">
        <f>市原!AD22</f>
        <v>0.33085714285714291</v>
      </c>
      <c r="AC9" s="564">
        <f>市原!AE22</f>
        <v>1.0052142857142858</v>
      </c>
      <c r="AD9" s="564">
        <f>市原!AF22</f>
        <v>0.81785714285714284</v>
      </c>
      <c r="AE9" s="564">
        <f>市原!AG22</f>
        <v>4.7615384615384608E-2</v>
      </c>
      <c r="AF9" s="564">
        <f>市原!AH22</f>
        <v>3.9142857142857141</v>
      </c>
      <c r="AG9" s="564">
        <f>市原!AI22</f>
        <v>0.23978571428571432</v>
      </c>
      <c r="AH9" s="564">
        <f>市原!AJ22</f>
        <v>0.16507142857142856</v>
      </c>
      <c r="AI9" s="564">
        <f>市原!AK22</f>
        <v>6.4999999999999997E-3</v>
      </c>
      <c r="AJ9" s="564">
        <f>市原!AL22</f>
        <v>0.08</v>
      </c>
      <c r="AK9" s="564">
        <f>市原!AM22</f>
        <v>0.5675</v>
      </c>
      <c r="AL9" s="564">
        <f>市原!AN22</f>
        <v>1.35E-2</v>
      </c>
      <c r="AM9" s="564">
        <f>市原!AO22</f>
        <v>6.2857142857142851E-3</v>
      </c>
      <c r="AN9" s="564">
        <f>市原!AP22</f>
        <v>7.5571428571428578</v>
      </c>
      <c r="AO9" s="564" t="e">
        <f>市原!AQ22</f>
        <v>#DIV/0!</v>
      </c>
      <c r="AP9" s="565">
        <f>市原!AR22</f>
        <v>0.02</v>
      </c>
      <c r="AQ9" s="564">
        <f>市原!AS22</f>
        <v>0.99785714285714266</v>
      </c>
      <c r="AR9" s="564">
        <f>市原!AT22</f>
        <v>0.75642857142857156</v>
      </c>
      <c r="AS9" s="564">
        <f>市原!AU22</f>
        <v>0.32071428571428573</v>
      </c>
      <c r="AT9" s="564">
        <f>市原!AV22</f>
        <v>1.2328571428571427</v>
      </c>
      <c r="AU9" s="564">
        <f>市原!AW22</f>
        <v>1.8849999999999998</v>
      </c>
      <c r="AV9" s="564">
        <f>市原!AX22</f>
        <v>0.70857142857142852</v>
      </c>
      <c r="AW9" s="564">
        <f>市原!AY22</f>
        <v>6.5142857142857141E-2</v>
      </c>
      <c r="AX9" s="565">
        <f>市原!AZ22</f>
        <v>3.3142857142857145</v>
      </c>
      <c r="AY9" s="564">
        <f>市原!BA22</f>
        <v>1.4285714285714286</v>
      </c>
      <c r="AZ9" s="567">
        <f>市原!BB22</f>
        <v>2.4023076923076925</v>
      </c>
      <c r="BA9" s="566"/>
    </row>
    <row r="10" spans="1:53" x14ac:dyDescent="0.2">
      <c r="A10" t="s">
        <v>544</v>
      </c>
      <c r="B10" s="567">
        <f>勝浦!D22</f>
        <v>16.3</v>
      </c>
      <c r="C10" s="565">
        <f>勝浦!E22</f>
        <v>4.7999999999999994E-2</v>
      </c>
      <c r="D10" s="564">
        <f>勝浦!F22</f>
        <v>4.9499999999999995E-2</v>
      </c>
      <c r="E10" s="564">
        <f>勝浦!G22</f>
        <v>6.3428571428571425</v>
      </c>
      <c r="F10" s="564">
        <f>勝浦!H22</f>
        <v>0.11885714285714286</v>
      </c>
      <c r="G10" s="564">
        <f>勝浦!I22</f>
        <v>2.1228571428571428</v>
      </c>
      <c r="H10" s="564">
        <f>勝浦!J22</f>
        <v>6.414285714285714E-2</v>
      </c>
      <c r="I10" s="564">
        <f>勝浦!K22</f>
        <v>1.0883333333333333E-2</v>
      </c>
      <c r="J10" s="564">
        <f>勝浦!L22</f>
        <v>2.1999999999999995E-2</v>
      </c>
      <c r="K10" s="565">
        <f>勝浦!M22</f>
        <v>121.64285714285714</v>
      </c>
      <c r="L10" s="564">
        <f>勝浦!N22</f>
        <v>11.363636363636363</v>
      </c>
      <c r="M10" s="564">
        <f>勝浦!O22</f>
        <v>36.9</v>
      </c>
      <c r="N10" s="564">
        <f>勝浦!P22</f>
        <v>85.428571428571431</v>
      </c>
      <c r="O10" s="564">
        <f>勝浦!Q22</f>
        <v>22.285714285714285</v>
      </c>
      <c r="P10" s="564">
        <f>勝浦!R22</f>
        <v>6.1249999999999992E-2</v>
      </c>
      <c r="Q10" s="564">
        <f>勝浦!S22</f>
        <v>3.0542307692307697</v>
      </c>
      <c r="R10" s="564">
        <f>勝浦!T22</f>
        <v>10.114285714285714</v>
      </c>
      <c r="S10" s="564">
        <f>勝浦!U22</f>
        <v>0.69625000000000004</v>
      </c>
      <c r="T10" s="564">
        <f>勝浦!V22</f>
        <v>3.4444444444444442</v>
      </c>
      <c r="U10" s="564">
        <f>勝浦!W22</f>
        <v>46.171428571428571</v>
      </c>
      <c r="V10" s="564">
        <f>勝浦!X22</f>
        <v>3.6888888888888888E-2</v>
      </c>
      <c r="W10" s="564">
        <f>勝浦!Y22</f>
        <v>2.8071428571428569</v>
      </c>
      <c r="X10" s="564">
        <f>勝浦!Z22</f>
        <v>2.2000000000000002</v>
      </c>
      <c r="Y10" s="564">
        <f>勝浦!AA22</f>
        <v>15.914285714285713</v>
      </c>
      <c r="Z10" s="564">
        <f>勝浦!AB22</f>
        <v>0.63664285714285718</v>
      </c>
      <c r="AA10" s="564">
        <f>勝浦!AC22</f>
        <v>0.85888888888888892</v>
      </c>
      <c r="AB10" s="564">
        <f>勝浦!AD22</f>
        <v>0.16158333333333333</v>
      </c>
      <c r="AC10" s="564">
        <f>勝浦!AE22</f>
        <v>0.39454545454545453</v>
      </c>
      <c r="AD10" s="564">
        <f>勝浦!AF22</f>
        <v>0.41738461538461541</v>
      </c>
      <c r="AE10" s="564">
        <f>勝浦!AG22</f>
        <v>2.3444444444444445E-2</v>
      </c>
      <c r="AF10" s="564">
        <f>勝浦!AH22</f>
        <v>1.3428571428571427</v>
      </c>
      <c r="AG10" s="564">
        <f>勝浦!AI22</f>
        <v>4.1490909090909092E-2</v>
      </c>
      <c r="AH10" s="564">
        <f>勝浦!AJ22</f>
        <v>3.5416666666666666E-2</v>
      </c>
      <c r="AI10" s="564">
        <f>勝浦!AK22</f>
        <v>6.4999999999999997E-3</v>
      </c>
      <c r="AJ10" s="564">
        <f>勝浦!AL22</f>
        <v>0.17444444444444449</v>
      </c>
      <c r="AK10" s="564">
        <f>勝浦!AM22</f>
        <v>0.19554545454545452</v>
      </c>
      <c r="AL10" s="564">
        <f>勝浦!AN22</f>
        <v>1.35E-2</v>
      </c>
      <c r="AM10" s="564">
        <f>勝浦!AO22</f>
        <v>5.0000000000000001E-3</v>
      </c>
      <c r="AN10" s="564">
        <f>勝浦!AP22</f>
        <v>4.2612499999999995</v>
      </c>
      <c r="AO10" s="564" t="e">
        <f>勝浦!AQ22</f>
        <v>#DIV/0!</v>
      </c>
      <c r="AP10" s="565">
        <f>勝浦!AR22</f>
        <v>0.02</v>
      </c>
      <c r="AQ10" s="564">
        <f>勝浦!AS22</f>
        <v>0.72</v>
      </c>
      <c r="AR10" s="564">
        <f>勝浦!AT22</f>
        <v>0.53400000000000003</v>
      </c>
      <c r="AS10" s="564">
        <f>勝浦!AU22</f>
        <v>0.26230769230769241</v>
      </c>
      <c r="AT10" s="564">
        <f>勝浦!AV22</f>
        <v>0.82000000000000028</v>
      </c>
      <c r="AU10" s="564">
        <f>勝浦!AW22</f>
        <v>0.89628571428571413</v>
      </c>
      <c r="AV10" s="564">
        <f>勝浦!AX22</f>
        <v>0.46214285714285713</v>
      </c>
      <c r="AW10" s="564">
        <f>勝浦!AY22</f>
        <v>4.1230769230769231E-2</v>
      </c>
      <c r="AX10" s="565">
        <f>勝浦!AZ22</f>
        <v>2.2700000000000005</v>
      </c>
      <c r="AY10" s="564">
        <f>勝浦!BA22</f>
        <v>0.63314285714285723</v>
      </c>
      <c r="AZ10" s="567">
        <f>勝浦!BB22</f>
        <v>1.9816666666666665</v>
      </c>
      <c r="BA10" s="566"/>
    </row>
    <row r="11" spans="1:53" x14ac:dyDescent="0.2">
      <c r="A11" t="s">
        <v>539</v>
      </c>
      <c r="B11" s="567">
        <f>富津!D22</f>
        <v>21.750000000000004</v>
      </c>
      <c r="C11" s="565">
        <f>富津!E22</f>
        <v>4.7999999999999994E-2</v>
      </c>
      <c r="D11" s="564">
        <f>富津!F22</f>
        <v>7.0777777777777773E-2</v>
      </c>
      <c r="E11" s="564">
        <f>富津!G22</f>
        <v>8.1214285714285701</v>
      </c>
      <c r="F11" s="564">
        <f>富津!H22</f>
        <v>0.19428571428571426</v>
      </c>
      <c r="G11" s="564">
        <f>富津!I22</f>
        <v>2.6678571428571431</v>
      </c>
      <c r="H11" s="564">
        <f>富津!J22</f>
        <v>7.7428571428571416E-2</v>
      </c>
      <c r="I11" s="564">
        <f>富津!K22</f>
        <v>2.4499999999999997E-2</v>
      </c>
      <c r="J11" s="564">
        <f>富津!L22</f>
        <v>0.16114285714285712</v>
      </c>
      <c r="K11" s="565">
        <f>富津!M22</f>
        <v>212.14285714285714</v>
      </c>
      <c r="L11" s="564">
        <f>富津!N22</f>
        <v>131.91666666666666</v>
      </c>
      <c r="M11" s="564">
        <f>富津!O22</f>
        <v>279.5</v>
      </c>
      <c r="N11" s="564">
        <f>富津!P22</f>
        <v>116.71428571428571</v>
      </c>
      <c r="O11" s="564">
        <f>富津!Q22</f>
        <v>214.42857142857142</v>
      </c>
      <c r="P11" s="564">
        <f>富津!R22</f>
        <v>6.5714285714285711E-2</v>
      </c>
      <c r="Q11" s="564">
        <f>富津!S22</f>
        <v>13.135714285714286</v>
      </c>
      <c r="R11" s="564">
        <f>富津!T22</f>
        <v>27</v>
      </c>
      <c r="S11" s="564">
        <f>富津!U22</f>
        <v>1.1436363636363636</v>
      </c>
      <c r="T11" s="564">
        <f>富津!V22</f>
        <v>8.1538461538461533</v>
      </c>
      <c r="U11" s="564">
        <f>富津!W22</f>
        <v>197.14285714285714</v>
      </c>
      <c r="V11" s="564">
        <f>富津!X22</f>
        <v>9.285714285714286E-2</v>
      </c>
      <c r="W11" s="564">
        <f>富津!Y22</f>
        <v>7.0428571428571436</v>
      </c>
      <c r="X11" s="564">
        <f>富津!Z22</f>
        <v>4.0181818181818185</v>
      </c>
      <c r="Y11" s="564">
        <f>富津!AA22</f>
        <v>23.435714285714283</v>
      </c>
      <c r="Z11" s="564">
        <f>富津!AB22</f>
        <v>0.88857142857142857</v>
      </c>
      <c r="AA11" s="564">
        <f>富津!AC22</f>
        <v>1.238</v>
      </c>
      <c r="AB11" s="564">
        <f>富津!AD22</f>
        <v>0.26342857142857146</v>
      </c>
      <c r="AC11" s="564">
        <f>富津!AE22</f>
        <v>0.45083333333333336</v>
      </c>
      <c r="AD11" s="564">
        <f>富津!AF22</f>
        <v>0.55746153846153856</v>
      </c>
      <c r="AE11" s="564">
        <f>富津!AG22</f>
        <v>0.04</v>
      </c>
      <c r="AF11" s="564">
        <f>富津!AH22</f>
        <v>2.5485714285714285</v>
      </c>
      <c r="AG11" s="564">
        <f>富津!AI22</f>
        <v>8.3428571428571408E-2</v>
      </c>
      <c r="AH11" s="564">
        <f>富津!AJ22</f>
        <v>0.10371428571428572</v>
      </c>
      <c r="AI11" s="564">
        <f>富津!AK22</f>
        <v>9.3888888888888876E-3</v>
      </c>
      <c r="AJ11" s="564">
        <f>富津!AL22</f>
        <v>0.14999999999999997</v>
      </c>
      <c r="AK11" s="564">
        <f>富津!AM22</f>
        <v>0.19772727272727275</v>
      </c>
      <c r="AL11" s="564">
        <f>富津!AN22</f>
        <v>1.6562500000000001E-2</v>
      </c>
      <c r="AM11" s="564">
        <f>富津!AO22</f>
        <v>8.0000000000000002E-3</v>
      </c>
      <c r="AN11" s="564">
        <f>富津!AP22</f>
        <v>5.6</v>
      </c>
      <c r="AO11" s="564" t="e">
        <f>富津!AQ22</f>
        <v>#DIV/0!</v>
      </c>
      <c r="AP11" s="565">
        <f>富津!AR22</f>
        <v>0.02</v>
      </c>
      <c r="AQ11" s="564">
        <f>富津!AS22</f>
        <v>0.78000000000000014</v>
      </c>
      <c r="AR11" s="564">
        <f>富津!AT22</f>
        <v>0.63</v>
      </c>
      <c r="AS11" s="564">
        <f>富津!AU22</f>
        <v>0.30714285714285711</v>
      </c>
      <c r="AT11" s="564">
        <f>富津!AV22</f>
        <v>1.0392857142857144</v>
      </c>
      <c r="AU11" s="564">
        <f>富津!AW22</f>
        <v>1.3642857142857143</v>
      </c>
      <c r="AV11" s="564">
        <f>富津!AX22</f>
        <v>0.52714285714285714</v>
      </c>
      <c r="AW11" s="564">
        <f>富津!AY22</f>
        <v>5.8785714285714288E-2</v>
      </c>
      <c r="AX11" s="565">
        <f>富津!AZ22</f>
        <v>2.7528571428571427</v>
      </c>
      <c r="AY11" s="564">
        <f>富津!BA22</f>
        <v>0.89857142857142847</v>
      </c>
      <c r="AZ11" s="567">
        <f>富津!BB22</f>
        <v>1.665</v>
      </c>
      <c r="BA11" s="566"/>
    </row>
    <row r="12" spans="1:53" x14ac:dyDescent="0.2">
      <c r="A12" t="s">
        <v>596</v>
      </c>
      <c r="B12" s="567">
        <f>千葉!D22</f>
        <v>21.902243589742941</v>
      </c>
      <c r="C12" s="565">
        <f>千葉!E22</f>
        <v>4.5777777777777778E-2</v>
      </c>
      <c r="D12" s="564">
        <f>千葉!F22</f>
        <v>0.27625000000000005</v>
      </c>
      <c r="E12" s="564">
        <f>千葉!G22</f>
        <v>9.2538461538461529</v>
      </c>
      <c r="F12" s="564">
        <f>千葉!H22</f>
        <v>0.14953846153846156</v>
      </c>
      <c r="G12" s="564">
        <f>千葉!I22</f>
        <v>3.4607692307692308</v>
      </c>
      <c r="H12" s="564">
        <f>千葉!J22</f>
        <v>0.1392846153846154</v>
      </c>
      <c r="I12" s="564">
        <f>千葉!K22</f>
        <v>3.4363636363636367E-2</v>
      </c>
      <c r="J12" s="564">
        <f>千葉!L22</f>
        <v>4.9333333333333333E-2</v>
      </c>
      <c r="K12" s="565">
        <f>千葉!M22</f>
        <v>132.30769230769232</v>
      </c>
      <c r="L12" s="564">
        <f>千葉!N22</f>
        <v>22.676923076923078</v>
      </c>
      <c r="M12" s="564">
        <f>千葉!O22</f>
        <v>39.223076923076924</v>
      </c>
      <c r="N12" s="564">
        <f>千葉!P22</f>
        <v>113.84615384615384</v>
      </c>
      <c r="O12" s="564">
        <f>千葉!Q22</f>
        <v>25.272727272727273</v>
      </c>
      <c r="P12" s="564">
        <f>千葉!R22</f>
        <v>0.19999999999999998</v>
      </c>
      <c r="Q12" s="564">
        <f>千葉!S22</f>
        <v>4.0538461538461537</v>
      </c>
      <c r="R12" s="564">
        <f>千葉!T22</f>
        <v>9.8307692307692314</v>
      </c>
      <c r="S12" s="564">
        <f>千葉!U22</f>
        <v>3.3199999999999994</v>
      </c>
      <c r="T12" s="564">
        <f>千葉!V22</f>
        <v>5.5538461538461537</v>
      </c>
      <c r="U12" s="564">
        <f>千葉!W22</f>
        <v>141.76923076923077</v>
      </c>
      <c r="V12" s="564">
        <f>千葉!X22</f>
        <v>0.13</v>
      </c>
      <c r="W12" s="564">
        <f>千葉!Y22</f>
        <v>3.430769230769231</v>
      </c>
      <c r="X12" s="564">
        <f>千葉!Z22</f>
        <v>3</v>
      </c>
      <c r="Y12" s="564">
        <f>千葉!AA22</f>
        <v>23.930769230769233</v>
      </c>
      <c r="Z12" s="564">
        <f>千葉!AB22</f>
        <v>1.4025000000000001</v>
      </c>
      <c r="AA12" s="564">
        <f>千葉!AC22</f>
        <v>1.8953846153846152</v>
      </c>
      <c r="AB12" s="564">
        <f>千葉!AD22</f>
        <v>0.41415384615384621</v>
      </c>
      <c r="AC12" s="564">
        <f>千葉!AE22</f>
        <v>1.6241666666666668</v>
      </c>
      <c r="AD12" s="564">
        <f>千葉!AF22</f>
        <v>2.0261538461538464</v>
      </c>
      <c r="AE12" s="564">
        <f>千葉!AG22</f>
        <v>0.17428571428571429</v>
      </c>
      <c r="AF12" s="564">
        <f>千葉!AH22</f>
        <v>2.6330769230769229</v>
      </c>
      <c r="AG12" s="564">
        <f>千葉!AI22</f>
        <v>0.19833333333333333</v>
      </c>
      <c r="AH12" s="564">
        <f>千葉!AJ22</f>
        <v>0.105</v>
      </c>
      <c r="AI12" s="564">
        <f>千葉!AK22</f>
        <v>0.13</v>
      </c>
      <c r="AJ12" s="564">
        <f>千葉!AL22</f>
        <v>6.5000000000000002E-2</v>
      </c>
      <c r="AK12" s="564">
        <f>千葉!AM22</f>
        <v>0.70000000000000007</v>
      </c>
      <c r="AL12" s="564">
        <f>千葉!AN22</f>
        <v>7.4999999999999997E-2</v>
      </c>
      <c r="AM12" s="564">
        <f>千葉!AO22</f>
        <v>0.16500000000000001</v>
      </c>
      <c r="AN12" s="564">
        <f>千葉!AP22</f>
        <v>8.4669230769230772</v>
      </c>
      <c r="AO12" s="564" t="e">
        <f>千葉!AQ22</f>
        <v>#DIV/0!</v>
      </c>
      <c r="AP12" s="565">
        <f>千葉!AR22</f>
        <v>1.95E-2</v>
      </c>
      <c r="AQ12" s="564">
        <f>千葉!AS22</f>
        <v>1.630769230769231</v>
      </c>
      <c r="AR12" s="564">
        <f>千葉!AT22</f>
        <v>0.63307692307692309</v>
      </c>
      <c r="AS12" s="564">
        <f>千葉!AU22</f>
        <v>0.30076923076923079</v>
      </c>
      <c r="AT12" s="564">
        <f>千葉!AV22</f>
        <v>1.5623076923076924</v>
      </c>
      <c r="AU12" s="564">
        <f>千葉!AW22</f>
        <v>2.2876923076923075</v>
      </c>
      <c r="AV12" s="564">
        <f>千葉!AX22</f>
        <v>0.52769230769230768</v>
      </c>
      <c r="AW12" s="564">
        <f>千葉!AY22</f>
        <v>1.4312499999999997E-2</v>
      </c>
      <c r="AX12" s="565">
        <f>千葉!AZ22</f>
        <v>4.115384615384615</v>
      </c>
      <c r="AY12" s="564">
        <f>千葉!BA22</f>
        <v>1.2453846153846155</v>
      </c>
      <c r="AZ12" s="567">
        <f>千葉!BB22</f>
        <v>2.3638461538461537</v>
      </c>
      <c r="BA12" s="566"/>
    </row>
    <row r="13" spans="1:53" x14ac:dyDescent="0.2">
      <c r="A13" t="s">
        <v>597</v>
      </c>
      <c r="B13" s="567">
        <f>綾瀬!D22</f>
        <v>24.664285714285715</v>
      </c>
      <c r="C13" s="565">
        <f>綾瀬!E22</f>
        <v>5.1000000000000011E-2</v>
      </c>
      <c r="D13" s="564">
        <f>綾瀬!F22</f>
        <v>0.39071428571428563</v>
      </c>
      <c r="E13" s="564">
        <f>綾瀬!G22</f>
        <v>6.6</v>
      </c>
      <c r="F13" s="564">
        <f>綾瀬!H22</f>
        <v>0.14364285714285713</v>
      </c>
      <c r="G13" s="564">
        <f>綾瀬!I22</f>
        <v>2.1992857142857143</v>
      </c>
      <c r="H13" s="564">
        <f>綾瀬!J22</f>
        <v>9.4285714285714278E-2</v>
      </c>
      <c r="I13" s="564">
        <f>綾瀬!K22</f>
        <v>1.9785714285714292E-2</v>
      </c>
      <c r="J13" s="564">
        <f>綾瀬!L22</f>
        <v>5.2642857142857151E-2</v>
      </c>
      <c r="K13" s="565">
        <f>綾瀬!M22</f>
        <v>228.57142857142858</v>
      </c>
      <c r="L13" s="564">
        <f>綾瀬!N22</f>
        <v>44.214285714285715</v>
      </c>
      <c r="M13" s="564">
        <f>綾瀬!O22</f>
        <v>72.857142857142861</v>
      </c>
      <c r="N13" s="564">
        <f>綾瀬!P22</f>
        <v>145.71428571428572</v>
      </c>
      <c r="O13" s="564">
        <f>綾瀬!Q22</f>
        <v>47.142857142857146</v>
      </c>
      <c r="P13" s="564">
        <f>綾瀬!R22</f>
        <v>1.4999999999999999E-2</v>
      </c>
      <c r="Q13" s="564">
        <f>綾瀬!S22</f>
        <v>3.5500000000000003</v>
      </c>
      <c r="R13" s="564">
        <f>綾瀬!T22</f>
        <v>15.864285714285714</v>
      </c>
      <c r="S13" s="564">
        <f>綾瀬!U22</f>
        <v>1.8285714285714287</v>
      </c>
      <c r="T13" s="564">
        <f>綾瀬!V22</f>
        <v>8.5142857142857142</v>
      </c>
      <c r="U13" s="564">
        <f>綾瀬!W22</f>
        <v>173.28571428571428</v>
      </c>
      <c r="V13" s="564">
        <f>綾瀬!X22</f>
        <v>9.0714285714285733E-2</v>
      </c>
      <c r="W13" s="564">
        <f>綾瀬!Y22</f>
        <v>5.3714285714285719</v>
      </c>
      <c r="X13" s="564">
        <f>綾瀬!Z22</f>
        <v>6.6642857142857137</v>
      </c>
      <c r="Y13" s="564">
        <f>綾瀬!AA22</f>
        <v>50.75714285714286</v>
      </c>
      <c r="Z13" s="564">
        <f>綾瀬!AB22</f>
        <v>1.3923076923076925</v>
      </c>
      <c r="AA13" s="564">
        <f>綾瀬!AC22</f>
        <v>1.7228571428571429</v>
      </c>
      <c r="AB13" s="564">
        <f>綾瀬!AD22</f>
        <v>0.38461538461538464</v>
      </c>
      <c r="AC13" s="564">
        <f>綾瀬!AE22</f>
        <v>1.4121428571428574</v>
      </c>
      <c r="AD13" s="564">
        <f>綾瀬!AF22</f>
        <v>1.4600000000000002</v>
      </c>
      <c r="AE13" s="564">
        <f>綾瀬!AG22</f>
        <v>5.3333333333333337E-2</v>
      </c>
      <c r="AF13" s="564">
        <f>綾瀬!AH22</f>
        <v>6.75</v>
      </c>
      <c r="AG13" s="564">
        <f>綾瀬!AI22</f>
        <v>0.32846153846153842</v>
      </c>
      <c r="AH13" s="564">
        <f>綾瀬!AJ22</f>
        <v>0.28499999999999998</v>
      </c>
      <c r="AI13" s="564">
        <f>綾瀬!AK22</f>
        <v>2.9999999999999995E-2</v>
      </c>
      <c r="AJ13" s="564">
        <f>綾瀬!AL22</f>
        <v>3.5000000000000003E-2</v>
      </c>
      <c r="AK13" s="564">
        <f>綾瀬!AM22</f>
        <v>0.36923076923076914</v>
      </c>
      <c r="AL13" s="564">
        <f>綾瀬!AN22</f>
        <v>0.01</v>
      </c>
      <c r="AM13" s="564">
        <f>綾瀬!AO22</f>
        <v>1.4999999999999999E-2</v>
      </c>
      <c r="AN13" s="564">
        <f>綾瀬!AP22</f>
        <v>9.9857142857142858</v>
      </c>
      <c r="AO13" s="564" t="e">
        <f>綾瀬!AQ22</f>
        <v>#DIV/0!</v>
      </c>
      <c r="AP13" s="565">
        <f>綾瀬!AR22</f>
        <v>0.45000000000000007</v>
      </c>
      <c r="AQ13" s="564">
        <f>綾瀬!AS22</f>
        <v>1.25</v>
      </c>
      <c r="AR13" s="564">
        <f>綾瀬!AT22</f>
        <v>0.64500000000000013</v>
      </c>
      <c r="AS13" s="564">
        <f>綾瀬!AU22</f>
        <v>0.54375000000000007</v>
      </c>
      <c r="AT13" s="564">
        <f>綾瀬!AV22</f>
        <v>0.84153846153846168</v>
      </c>
      <c r="AU13" s="564">
        <f>綾瀬!AW22</f>
        <v>1.6642857142857146</v>
      </c>
      <c r="AV13" s="564">
        <f>綾瀬!AX22</f>
        <v>0.64285714285714268</v>
      </c>
      <c r="AW13" s="564">
        <f>綾瀬!AY22</f>
        <v>5.4545454545454557E-2</v>
      </c>
      <c r="AX13" s="565">
        <f>綾瀬!AZ22</f>
        <v>3.2538461538461543</v>
      </c>
      <c r="AY13" s="564">
        <f>綾瀬!BA22</f>
        <v>1.5778571428571428</v>
      </c>
      <c r="AZ13" s="567" t="e">
        <f>綾瀬!BB22</f>
        <v>#DIV/0!</v>
      </c>
      <c r="BA13" s="566"/>
    </row>
    <row r="14" spans="1:53" x14ac:dyDescent="0.2">
      <c r="A14" t="s">
        <v>598</v>
      </c>
      <c r="B14" s="567">
        <f>多摩!D22</f>
        <v>22.964285714285715</v>
      </c>
      <c r="C14" s="565">
        <f>多摩!E22</f>
        <v>6.0357142857142873E-2</v>
      </c>
      <c r="D14" s="564">
        <f>多摩!F22</f>
        <v>0.30928571428571427</v>
      </c>
      <c r="E14" s="564">
        <f>多摩!G22</f>
        <v>8.0571428571428587</v>
      </c>
      <c r="F14" s="564">
        <f>多摩!H22</f>
        <v>0.13292857142857142</v>
      </c>
      <c r="G14" s="564">
        <f>多摩!I22</f>
        <v>2.7528571428571427</v>
      </c>
      <c r="H14" s="564">
        <f>多摩!J22</f>
        <v>0.16692857142857145</v>
      </c>
      <c r="I14" s="564">
        <f>多摩!K22</f>
        <v>2.5071428571428574E-2</v>
      </c>
      <c r="J14" s="564">
        <f>多摩!L22</f>
        <v>3.6785714285714276E-2</v>
      </c>
      <c r="K14" s="565">
        <f>多摩!M22</f>
        <v>184.28571428571428</v>
      </c>
      <c r="L14" s="564">
        <f>多摩!N22</f>
        <v>48.071428571428569</v>
      </c>
      <c r="M14" s="564">
        <f>多摩!O22</f>
        <v>68.571428571428569</v>
      </c>
      <c r="N14" s="564">
        <f>多摩!P22</f>
        <v>172.71428571428572</v>
      </c>
      <c r="O14" s="564">
        <f>多摩!Q22</f>
        <v>42.857142857142854</v>
      </c>
      <c r="P14" s="564">
        <f>多摩!R22</f>
        <v>1.4999999999999999E-2</v>
      </c>
      <c r="Q14" s="564">
        <f>多摩!S22</f>
        <v>3.5214285714285714</v>
      </c>
      <c r="R14" s="564">
        <f>多摩!T22</f>
        <v>7.7</v>
      </c>
      <c r="S14" s="564">
        <f>多摩!U22</f>
        <v>1.6214285714285714</v>
      </c>
      <c r="T14" s="564">
        <f>多摩!V22</f>
        <v>6.2</v>
      </c>
      <c r="U14" s="564">
        <f>多摩!W22</f>
        <v>104.92857142857143</v>
      </c>
      <c r="V14" s="564">
        <f>多摩!X22</f>
        <v>8.1538461538461532E-2</v>
      </c>
      <c r="W14" s="564">
        <f>多摩!Y22</f>
        <v>2.9499999999999993</v>
      </c>
      <c r="X14" s="564">
        <f>多摩!Z22</f>
        <v>7.0785714285714292</v>
      </c>
      <c r="Y14" s="564">
        <f>多摩!AA22</f>
        <v>31.957142857142856</v>
      </c>
      <c r="Z14" s="564">
        <f>多摩!AB22</f>
        <v>1.1230769230769231</v>
      </c>
      <c r="AA14" s="564">
        <f>多摩!AC22</f>
        <v>1.6021428571428573</v>
      </c>
      <c r="AB14" s="564">
        <f>多摩!AD22</f>
        <v>0.29846153846153844</v>
      </c>
      <c r="AC14" s="564">
        <f>多摩!AE22</f>
        <v>0.77642857142857147</v>
      </c>
      <c r="AD14" s="564">
        <f>多摩!AF22</f>
        <v>1.9192857142857143</v>
      </c>
      <c r="AE14" s="564">
        <f>多摩!AG22</f>
        <v>2.6250000000000002E-2</v>
      </c>
      <c r="AF14" s="564">
        <f>多摩!AH22</f>
        <v>9.9000000000000021</v>
      </c>
      <c r="AG14" s="564">
        <f>多摩!AI22</f>
        <v>0.17692307692307691</v>
      </c>
      <c r="AH14" s="564">
        <f>多摩!AJ22</f>
        <v>0.19214285714285717</v>
      </c>
      <c r="AI14" s="564">
        <f>多摩!AK22</f>
        <v>0.02</v>
      </c>
      <c r="AJ14" s="564">
        <f>多摩!AL22</f>
        <v>3.5000000000000003E-2</v>
      </c>
      <c r="AK14" s="564">
        <f>多摩!AM22</f>
        <v>0.29153846153846158</v>
      </c>
      <c r="AL14" s="564">
        <f>多摩!AN22</f>
        <v>0.01</v>
      </c>
      <c r="AM14" s="564">
        <f>多摩!AO22</f>
        <v>2.8500000000000004E-2</v>
      </c>
      <c r="AN14" s="564">
        <f>多摩!AP22</f>
        <v>6.2714285714285714</v>
      </c>
      <c r="AO14" s="564" t="e">
        <f>多摩!AQ22</f>
        <v>#DIV/0!</v>
      </c>
      <c r="AP14" s="565">
        <f>多摩!AR22</f>
        <v>0.45000000000000007</v>
      </c>
      <c r="AQ14" s="564">
        <f>多摩!AS22</f>
        <v>0.94499999999999995</v>
      </c>
      <c r="AR14" s="564">
        <f>多摩!AT22</f>
        <v>0.75000000000000011</v>
      </c>
      <c r="AS14" s="564">
        <f>多摩!AU22</f>
        <v>0.51875000000000004</v>
      </c>
      <c r="AT14" s="564">
        <f>多摩!AV22</f>
        <v>0.84769230769230763</v>
      </c>
      <c r="AU14" s="564">
        <f>多摩!AW22</f>
        <v>1.34</v>
      </c>
      <c r="AV14" s="564">
        <f>多摩!AX22</f>
        <v>0.66214285714285726</v>
      </c>
      <c r="AW14" s="564">
        <f>多摩!AY22</f>
        <v>6.8636363636363634E-2</v>
      </c>
      <c r="AX14" s="565">
        <f>多摩!AZ22</f>
        <v>3.1000000000000005</v>
      </c>
      <c r="AY14" s="564">
        <f>多摩!BA22</f>
        <v>1.2607142857142859</v>
      </c>
      <c r="AZ14" s="567" t="e">
        <f>多摩!BB22</f>
        <v>#DIV/0!</v>
      </c>
      <c r="BA14" s="566"/>
    </row>
    <row r="15" spans="1:53" x14ac:dyDescent="0.2">
      <c r="A15" t="s">
        <v>599</v>
      </c>
      <c r="B15" s="567">
        <f>大和!D22</f>
        <v>21.707142857142859</v>
      </c>
      <c r="C15" s="565">
        <f>大和!E22</f>
        <v>4.0500000000000001E-2</v>
      </c>
      <c r="D15" s="564">
        <f>大和!F22</f>
        <v>0.13907142857142857</v>
      </c>
      <c r="E15" s="564">
        <f>大和!G22</f>
        <v>8.5500000000000007</v>
      </c>
      <c r="F15" s="564">
        <f>大和!H22</f>
        <v>0.14167857142857146</v>
      </c>
      <c r="G15" s="564">
        <f>大和!I22</f>
        <v>2.8671428571428579</v>
      </c>
      <c r="H15" s="564">
        <f>大和!J22</f>
        <v>0.13090909090909095</v>
      </c>
      <c r="I15" s="564">
        <f>大和!K22</f>
        <v>1.9785714285714288E-2</v>
      </c>
      <c r="J15" s="564">
        <f>大和!L22</f>
        <v>4.6357142857142861E-2</v>
      </c>
      <c r="K15" s="565">
        <f>大和!M22</f>
        <v>138.14285714285714</v>
      </c>
      <c r="L15" s="564">
        <f>大和!N22</f>
        <v>21.5</v>
      </c>
      <c r="M15" s="564" t="e">
        <f>大和!O22</f>
        <v>#DIV/0!</v>
      </c>
      <c r="N15" s="564">
        <f>大和!P22</f>
        <v>119.23076923076923</v>
      </c>
      <c r="O15" s="564">
        <f>大和!Q22</f>
        <v>83.7</v>
      </c>
      <c r="P15" s="564">
        <f>大和!R22</f>
        <v>0.13</v>
      </c>
      <c r="Q15" s="564">
        <f>大和!S22</f>
        <v>6.9285714285714288</v>
      </c>
      <c r="R15" s="564">
        <f>大和!T22</f>
        <v>10.321428571428571</v>
      </c>
      <c r="S15" s="564">
        <f>大和!U22</f>
        <v>1.2753571428571431</v>
      </c>
      <c r="T15" s="564">
        <f>大和!V22</f>
        <v>6.3857142857142852</v>
      </c>
      <c r="U15" s="564">
        <f>大和!W22</f>
        <v>120.42857142857143</v>
      </c>
      <c r="V15" s="564">
        <f>大和!X22</f>
        <v>0.21500000000000002</v>
      </c>
      <c r="W15" s="564">
        <f>大和!Y22</f>
        <v>3.2807692307692307</v>
      </c>
      <c r="X15" s="564">
        <f>大和!Z22</f>
        <v>51.328571428571429</v>
      </c>
      <c r="Y15" s="564">
        <f>大和!AA22</f>
        <v>28.846153846153847</v>
      </c>
      <c r="Z15" s="564">
        <f>大和!AB22</f>
        <v>1.294</v>
      </c>
      <c r="AA15" s="564">
        <f>大和!AC22</f>
        <v>1.5781818181818181</v>
      </c>
      <c r="AB15" s="564">
        <f>大和!AD22</f>
        <v>0.38500000000000006</v>
      </c>
      <c r="AC15" s="564">
        <f>大和!AE22</f>
        <v>0.57363636363636372</v>
      </c>
      <c r="AD15" s="564">
        <f>大和!AF22</f>
        <v>1.3685714285714283</v>
      </c>
      <c r="AE15" s="564">
        <f>大和!AG22</f>
        <v>0.25499999999999995</v>
      </c>
      <c r="AF15" s="564">
        <f>大和!AH22</f>
        <v>5.8142857142857149</v>
      </c>
      <c r="AG15" s="564">
        <f>大和!AI22</f>
        <v>0.25499999999999995</v>
      </c>
      <c r="AH15" s="564">
        <f>大和!AJ22</f>
        <v>0.22</v>
      </c>
      <c r="AI15" s="564">
        <f>大和!AK22</f>
        <v>0.16500000000000001</v>
      </c>
      <c r="AJ15" s="564">
        <f>大和!AL22</f>
        <v>0.24</v>
      </c>
      <c r="AK15" s="564">
        <f>大和!AM22</f>
        <v>0.14600000000000002</v>
      </c>
      <c r="AL15" s="564">
        <f>大和!AN22</f>
        <v>0.02</v>
      </c>
      <c r="AM15" s="564">
        <f>大和!AO22</f>
        <v>0.18500000000000003</v>
      </c>
      <c r="AN15" s="564">
        <f>大和!AP22</f>
        <v>4.9857142857142858</v>
      </c>
      <c r="AO15" s="564" t="e">
        <f>大和!AQ22</f>
        <v>#DIV/0!</v>
      </c>
      <c r="AP15" s="565">
        <f>大和!AR22</f>
        <v>0.19713636363636364</v>
      </c>
      <c r="AQ15" s="564">
        <f>大和!AS22</f>
        <v>1.3214285714285714</v>
      </c>
      <c r="AR15" s="564">
        <f>大和!AT22</f>
        <v>0.68785714285714283</v>
      </c>
      <c r="AS15" s="564">
        <f>大和!AU22</f>
        <v>0.44285714285714289</v>
      </c>
      <c r="AT15" s="564">
        <f>大和!AV22</f>
        <v>0.94285714285714284</v>
      </c>
      <c r="AU15" s="564">
        <f>大和!AW22</f>
        <v>1.2735714285714288</v>
      </c>
      <c r="AV15" s="564">
        <f>大和!AX22</f>
        <v>0.9157142857142857</v>
      </c>
      <c r="AW15" s="564">
        <f>大和!AY22</f>
        <v>8.9571428571428566E-2</v>
      </c>
      <c r="AX15" s="565">
        <f>大和!AZ22</f>
        <v>3.5478571428571426</v>
      </c>
      <c r="AY15" s="564">
        <f>大和!BA22</f>
        <v>1.34</v>
      </c>
      <c r="AZ15" s="567">
        <f>大和!BB22</f>
        <v>3.2914285714285714</v>
      </c>
      <c r="BA15" s="566"/>
    </row>
    <row r="16" spans="1:53" x14ac:dyDescent="0.2">
      <c r="A16" t="s">
        <v>600</v>
      </c>
      <c r="B16" s="567">
        <f>横浜!D22</f>
        <v>22.042857142857141</v>
      </c>
      <c r="C16" s="565">
        <f>横浜!E22</f>
        <v>1.4545454545454549E-2</v>
      </c>
      <c r="D16" s="564">
        <f>横浜!F22</f>
        <v>8.5000000000000006E-2</v>
      </c>
      <c r="E16" s="564">
        <f>横浜!G22</f>
        <v>9.7071428571428573</v>
      </c>
      <c r="F16" s="564">
        <f>横浜!H22</f>
        <v>0.25000000000000006</v>
      </c>
      <c r="G16" s="564">
        <f>横浜!I22</f>
        <v>3.4821428571428577</v>
      </c>
      <c r="H16" s="564">
        <f>横浜!J22</f>
        <v>0.17142857142857146</v>
      </c>
      <c r="I16" s="564">
        <f>横浜!K22</f>
        <v>3.6428571428571435E-2</v>
      </c>
      <c r="J16" s="564">
        <f>横浜!L22</f>
        <v>0.10428571428571429</v>
      </c>
      <c r="K16" s="565">
        <f>横浜!M22</f>
        <v>189.85714285714286</v>
      </c>
      <c r="L16" s="564">
        <f>横浜!N22</f>
        <v>48.833333333333336</v>
      </c>
      <c r="M16" s="564">
        <f>横浜!O22</f>
        <v>104.28571428571429</v>
      </c>
      <c r="N16" s="564">
        <f>横浜!P22</f>
        <v>105.57142857142857</v>
      </c>
      <c r="O16" s="564">
        <f>横浜!Q22</f>
        <v>95.785714285714292</v>
      </c>
      <c r="P16" s="564">
        <f>横浜!R22</f>
        <v>1.4624999999999999E-2</v>
      </c>
      <c r="Q16" s="564">
        <f>横浜!S22</f>
        <v>4.9071428571428575</v>
      </c>
      <c r="R16" s="564">
        <f>横浜!T22</f>
        <v>18.478571428571428</v>
      </c>
      <c r="S16" s="564">
        <f>横浜!U22</f>
        <v>1.9407692307692308</v>
      </c>
      <c r="T16" s="564">
        <f>横浜!V22</f>
        <v>7.430769230769231</v>
      </c>
      <c r="U16" s="564">
        <f>横浜!W22</f>
        <v>162.35714285714286</v>
      </c>
      <c r="V16" s="564">
        <f>横浜!X22</f>
        <v>0.45000000000000007</v>
      </c>
      <c r="W16" s="564">
        <f>横浜!Y22</f>
        <v>6.0076923076923077</v>
      </c>
      <c r="X16" s="564">
        <f>横浜!Z22</f>
        <v>3.9846153846153851</v>
      </c>
      <c r="Y16" s="564">
        <f>横浜!AA22</f>
        <v>28.830769230769231</v>
      </c>
      <c r="Z16" s="564">
        <f>横浜!AB22</f>
        <v>1.3977777777777778</v>
      </c>
      <c r="AA16" s="564">
        <f>横浜!AC22</f>
        <v>1.2284999999999999</v>
      </c>
      <c r="AB16" s="564">
        <f>横浜!AD22</f>
        <v>0.54999999999999993</v>
      </c>
      <c r="AC16" s="564">
        <f>横浜!AE22</f>
        <v>1.5199999999999996</v>
      </c>
      <c r="AD16" s="564">
        <f>横浜!AF22</f>
        <v>3.3000000000000003</v>
      </c>
      <c r="AE16" s="564">
        <f>横浜!AG22</f>
        <v>4.7</v>
      </c>
      <c r="AF16" s="564">
        <f>横浜!AH22</f>
        <v>5</v>
      </c>
      <c r="AG16" s="564">
        <f>横浜!AI22</f>
        <v>6</v>
      </c>
      <c r="AH16" s="564">
        <f>横浜!AJ22</f>
        <v>6.5</v>
      </c>
      <c r="AI16" s="564">
        <f>横浜!AK22</f>
        <v>10</v>
      </c>
      <c r="AJ16" s="564">
        <f>横浜!AL22</f>
        <v>1.2999999999999999E-2</v>
      </c>
      <c r="AK16" s="564">
        <f>横浜!AM22</f>
        <v>0.36153846153846153</v>
      </c>
      <c r="AL16" s="564">
        <f>横浜!AN22</f>
        <v>8.9999999999999993E-3</v>
      </c>
      <c r="AM16" s="564">
        <f>横浜!AO22</f>
        <v>1.6500000000000001</v>
      </c>
      <c r="AN16" s="564">
        <f>横浜!AP22</f>
        <v>7.3083333333333345</v>
      </c>
      <c r="AO16" s="564" t="e">
        <f>横浜!AQ22</f>
        <v>#DIV/0!</v>
      </c>
      <c r="AP16" s="565">
        <f>横浜!AR22</f>
        <v>8.214285714285717E-2</v>
      </c>
      <c r="AQ16" s="564">
        <f>横浜!AS22</f>
        <v>1.2821428571428573</v>
      </c>
      <c r="AR16" s="564">
        <f>横浜!AT22</f>
        <v>0.58142857142857152</v>
      </c>
      <c r="AS16" s="564">
        <f>横浜!AU22</f>
        <v>0.46928571428571425</v>
      </c>
      <c r="AT16" s="564">
        <f>横浜!AV22</f>
        <v>0.74071428571428566</v>
      </c>
      <c r="AU16" s="564">
        <f>横浜!AW22</f>
        <v>1.5771428571428572</v>
      </c>
      <c r="AV16" s="564">
        <f>横浜!AX22</f>
        <v>0.30642857142857138</v>
      </c>
      <c r="AW16" s="564">
        <f>横浜!AY22</f>
        <v>8.5714285714285719E-3</v>
      </c>
      <c r="AX16" s="565">
        <f>横浜!AZ22</f>
        <v>3.1642857142857141</v>
      </c>
      <c r="AY16" s="564">
        <f>横浜!BA22</f>
        <v>1.1507142857142856</v>
      </c>
      <c r="AZ16" s="567" t="e">
        <f>横浜!BB22</f>
        <v>#DIV/0!</v>
      </c>
      <c r="BA16" s="566"/>
    </row>
    <row r="17" spans="1:53" x14ac:dyDescent="0.2">
      <c r="A17" t="s">
        <v>560</v>
      </c>
      <c r="B17" s="567">
        <f>川崎!D22</f>
        <v>22.885714285714283</v>
      </c>
      <c r="C17" s="565">
        <f>川崎!E22</f>
        <v>1.2000000000000002E-2</v>
      </c>
      <c r="D17" s="564">
        <f>川崎!F22</f>
        <v>0.16864285714285715</v>
      </c>
      <c r="E17" s="564">
        <f>川崎!G22</f>
        <v>9.7142857142857135</v>
      </c>
      <c r="F17" s="564">
        <f>川崎!H22</f>
        <v>0.23357142857142854</v>
      </c>
      <c r="G17" s="564">
        <f>川崎!I22</f>
        <v>3.1928571428571435</v>
      </c>
      <c r="H17" s="564">
        <f>川崎!J22</f>
        <v>0.12628571428571425</v>
      </c>
      <c r="I17" s="564">
        <f>川崎!K22</f>
        <v>4.2357142857142864E-2</v>
      </c>
      <c r="J17" s="564">
        <f>川崎!L22</f>
        <v>7.3642857142857149E-2</v>
      </c>
      <c r="K17" s="565">
        <f>川崎!M22</f>
        <v>199.5</v>
      </c>
      <c r="L17" s="564">
        <f>川崎!N22</f>
        <v>24.535714285714285</v>
      </c>
      <c r="M17" s="564" t="e">
        <f>川崎!O22</f>
        <v>#DIV/0!</v>
      </c>
      <c r="N17" s="564">
        <f>川崎!P22</f>
        <v>107.64285714285714</v>
      </c>
      <c r="O17" s="564">
        <f>川崎!Q22</f>
        <v>52.071428571428569</v>
      </c>
      <c r="P17" s="564">
        <f>川崎!R22</f>
        <v>5.9999999999999993E-3</v>
      </c>
      <c r="Q17" s="564">
        <f>川崎!S22</f>
        <v>3.8357142857142859</v>
      </c>
      <c r="R17" s="564">
        <f>川崎!T22</f>
        <v>23.321428571428573</v>
      </c>
      <c r="S17" s="564">
        <f>川崎!U22</f>
        <v>3.330000000000001</v>
      </c>
      <c r="T17" s="564">
        <f>川崎!V22</f>
        <v>13.985714285714284</v>
      </c>
      <c r="U17" s="564">
        <f>川崎!W22</f>
        <v>269</v>
      </c>
      <c r="V17" s="564">
        <f>川崎!X22</f>
        <v>0.21935714285714283</v>
      </c>
      <c r="W17" s="564">
        <f>川崎!Y22</f>
        <v>7.7428571428571429</v>
      </c>
      <c r="X17" s="564">
        <f>川崎!Z22</f>
        <v>6.1642857142857137</v>
      </c>
      <c r="Y17" s="564">
        <f>川崎!AA22</f>
        <v>41.25714285714286</v>
      </c>
      <c r="Z17" s="564">
        <f>川崎!AB22</f>
        <v>1.1814285714285713</v>
      </c>
      <c r="AA17" s="564">
        <f>川崎!AC22</f>
        <v>1.49</v>
      </c>
      <c r="AB17" s="564">
        <f>川崎!AD22</f>
        <v>0.28135714285714292</v>
      </c>
      <c r="AC17" s="564">
        <f>川崎!AE22</f>
        <v>1.9764285714285716</v>
      </c>
      <c r="AD17" s="564">
        <f>川崎!AF22</f>
        <v>1.0014285714285716</v>
      </c>
      <c r="AE17" s="564">
        <f>川崎!AG22</f>
        <v>5.6545454545454545E-2</v>
      </c>
      <c r="AF17" s="564">
        <f>川崎!AH22</f>
        <v>4.2785714285714294</v>
      </c>
      <c r="AG17" s="564">
        <f>川崎!AI22</f>
        <v>0.1203846153846154</v>
      </c>
      <c r="AH17" s="564">
        <f>川崎!AJ22</f>
        <v>0.11985714285714286</v>
      </c>
      <c r="AI17" s="564">
        <f>川崎!AK22</f>
        <v>7.0000000000000001E-3</v>
      </c>
      <c r="AJ17" s="564">
        <f>川崎!AL22</f>
        <v>1.1374999999999998E-2</v>
      </c>
      <c r="AK17" s="564">
        <f>川崎!AM22</f>
        <v>0.36457142857142849</v>
      </c>
      <c r="AL17" s="564">
        <f>川崎!AN22</f>
        <v>1.4999999999999999E-2</v>
      </c>
      <c r="AM17" s="564">
        <f>川崎!AO22</f>
        <v>3.9000000000000003E-3</v>
      </c>
      <c r="AN17" s="564">
        <f>川崎!AP22</f>
        <v>6.3471428571428561</v>
      </c>
      <c r="AO17" s="564" t="e">
        <f>川崎!AQ22</f>
        <v>#DIV/0!</v>
      </c>
      <c r="AP17" s="565">
        <f>川崎!AR22</f>
        <v>2.1999999999999995E-2</v>
      </c>
      <c r="AQ17" s="564">
        <f>川崎!AS22</f>
        <v>1.6385714285714283</v>
      </c>
      <c r="AR17" s="564">
        <f>川崎!AT22</f>
        <v>0.87857142857142889</v>
      </c>
      <c r="AS17" s="564">
        <f>川崎!AU22</f>
        <v>0.52785714285714291</v>
      </c>
      <c r="AT17" s="564">
        <f>川崎!AV22</f>
        <v>0.90642857142857136</v>
      </c>
      <c r="AU17" s="564">
        <f>川崎!AW22</f>
        <v>1.8971428571428568</v>
      </c>
      <c r="AV17" s="564">
        <f>川崎!AX22</f>
        <v>0.55071428571428571</v>
      </c>
      <c r="AW17" s="564">
        <f>川崎!AY22</f>
        <v>3.6999999999999998E-2</v>
      </c>
      <c r="AX17" s="565">
        <f>川崎!AZ22</f>
        <v>3.9428571428571426</v>
      </c>
      <c r="AY17" s="564">
        <f>川崎!BA22</f>
        <v>1.56</v>
      </c>
      <c r="AZ17" s="567">
        <f>川崎!BB22</f>
        <v>3.1614285714285715</v>
      </c>
      <c r="BA17" s="566"/>
    </row>
    <row r="18" spans="1:53" x14ac:dyDescent="0.2">
      <c r="A18" t="s">
        <v>601</v>
      </c>
      <c r="B18" s="567">
        <f>相模原!D22</f>
        <v>22.292857142857144</v>
      </c>
      <c r="C18" s="565">
        <f>相模原!E22</f>
        <v>1.3000000000000001E-2</v>
      </c>
      <c r="D18" s="564">
        <f>相模原!F22</f>
        <v>0.14000000000000001</v>
      </c>
      <c r="E18" s="564">
        <f>相模原!G22</f>
        <v>8.0642857142857132</v>
      </c>
      <c r="F18" s="564">
        <f>相模原!H22</f>
        <v>0.16214285714285714</v>
      </c>
      <c r="G18" s="564">
        <f>相模原!I22</f>
        <v>3.0550000000000002</v>
      </c>
      <c r="H18" s="564">
        <f>相模原!J22</f>
        <v>0.18071428571428574</v>
      </c>
      <c r="I18" s="564">
        <f>相模原!K22</f>
        <v>2.4615384615384619E-2</v>
      </c>
      <c r="J18" s="564">
        <f>相模原!L22</f>
        <v>3.3571428571428572E-2</v>
      </c>
      <c r="K18" s="565">
        <f>相模原!M22</f>
        <v>165.71428571428572</v>
      </c>
      <c r="L18" s="564">
        <f>相模原!N22</f>
        <v>48.642857142857146</v>
      </c>
      <c r="M18" s="564">
        <f>相模原!O22</f>
        <v>74.857142857142861</v>
      </c>
      <c r="N18" s="564">
        <f>相模原!P22</f>
        <v>148.57142857142858</v>
      </c>
      <c r="O18" s="564">
        <f>相模原!Q22</f>
        <v>43.214285714285715</v>
      </c>
      <c r="P18" s="564">
        <f>相模原!R22</f>
        <v>0.01</v>
      </c>
      <c r="Q18" s="564">
        <f>相模原!S22</f>
        <v>5.5214285714285714</v>
      </c>
      <c r="R18" s="564">
        <f>相模原!T22</f>
        <v>7.285000000000001</v>
      </c>
      <c r="S18" s="564">
        <f>相模原!U22</f>
        <v>1.3678571428571427</v>
      </c>
      <c r="T18" s="564">
        <f>相模原!V22</f>
        <v>5.9142857142857137</v>
      </c>
      <c r="U18" s="564">
        <f>相模原!W22</f>
        <v>98</v>
      </c>
      <c r="V18" s="564">
        <f>相模原!X22</f>
        <v>6.3181818181818186E-2</v>
      </c>
      <c r="W18" s="564">
        <f>相模原!Y22</f>
        <v>2.7414285714285711</v>
      </c>
      <c r="X18" s="564">
        <f>相模原!Z22</f>
        <v>5.6071428571428568</v>
      </c>
      <c r="Y18" s="564">
        <f>相模原!AA22</f>
        <v>29.578571428571429</v>
      </c>
      <c r="Z18" s="564">
        <f>相模原!AB22</f>
        <v>1.0171428571428571</v>
      </c>
      <c r="AA18" s="564">
        <f>相模原!AC22</f>
        <v>1.4935714285714283</v>
      </c>
      <c r="AB18" s="564">
        <f>相模原!AD22</f>
        <v>0.24714285714285714</v>
      </c>
      <c r="AC18" s="564">
        <f>相模原!AE22</f>
        <v>0.56571428571428561</v>
      </c>
      <c r="AD18" s="564">
        <f>相模原!AF22</f>
        <v>1.6235714285714287</v>
      </c>
      <c r="AE18" s="564">
        <f>相模原!AG22</f>
        <v>4.2363636363636367E-2</v>
      </c>
      <c r="AF18" s="564">
        <f>相模原!AH22</f>
        <v>7.0785714285714292</v>
      </c>
      <c r="AG18" s="564">
        <f>相模原!AI22</f>
        <v>0.18335714285714283</v>
      </c>
      <c r="AH18" s="564">
        <f>相模原!AJ22</f>
        <v>0.31571428571428578</v>
      </c>
      <c r="AI18" s="564">
        <f>相模原!AK22</f>
        <v>1.2999999999999999E-2</v>
      </c>
      <c r="AJ18" s="564">
        <f>相模原!AL22</f>
        <v>2.4999999999999998E-2</v>
      </c>
      <c r="AK18" s="564">
        <f>相模原!AM22</f>
        <v>0.27307692307692305</v>
      </c>
      <c r="AL18" s="564">
        <f>相模原!AN22</f>
        <v>1.4999999999999999E-2</v>
      </c>
      <c r="AM18" s="564">
        <f>相模原!AO22</f>
        <v>1.2499999999999999E-2</v>
      </c>
      <c r="AN18" s="564">
        <f>相模原!AP22</f>
        <v>5.8021428571428562</v>
      </c>
      <c r="AO18" s="564" t="e">
        <f>相模原!AQ22</f>
        <v>#DIV/0!</v>
      </c>
      <c r="AP18" s="565">
        <f>相模原!AR22</f>
        <v>0.21857142857142856</v>
      </c>
      <c r="AQ18" s="564">
        <f>相模原!AS22</f>
        <v>1.8450000000000002</v>
      </c>
      <c r="AR18" s="564">
        <f>相模原!AT22</f>
        <v>0.76071428571428579</v>
      </c>
      <c r="AS18" s="564">
        <f>相模原!AU22</f>
        <v>0.54357142857142859</v>
      </c>
      <c r="AT18" s="564">
        <f>相模原!AV22</f>
        <v>1.1264285714285713</v>
      </c>
      <c r="AU18" s="564">
        <f>相模原!AW22</f>
        <v>1.8949999999999998</v>
      </c>
      <c r="AV18" s="564">
        <f>相模原!AX22</f>
        <v>0.33571428571428574</v>
      </c>
      <c r="AW18" s="564">
        <f>相模原!AY22</f>
        <v>1.2142857142857141E-2</v>
      </c>
      <c r="AX18" s="565">
        <f>相模原!AZ22</f>
        <v>4.4928571428571429</v>
      </c>
      <c r="AY18" s="564">
        <f>相模原!BA22</f>
        <v>1.1314285714285715</v>
      </c>
      <c r="AZ18" s="567" t="e">
        <f>相模原!BB22</f>
        <v>#DIV/0!</v>
      </c>
      <c r="BA18" s="566"/>
    </row>
    <row r="19" spans="1:53" x14ac:dyDescent="0.2">
      <c r="A19" t="s">
        <v>430</v>
      </c>
      <c r="B19" s="567">
        <f>甲府!D22</f>
        <v>21.05</v>
      </c>
      <c r="C19" s="565">
        <f>甲府!E22</f>
        <v>5.9999999999999993E-3</v>
      </c>
      <c r="D19" s="564">
        <f>甲府!F22</f>
        <v>5.2576923076923084E-2</v>
      </c>
      <c r="E19" s="564">
        <f>甲府!G22</f>
        <v>7.234285714285714</v>
      </c>
      <c r="F19" s="564">
        <f>甲府!H22</f>
        <v>7.1615384615384622E-2</v>
      </c>
      <c r="G19" s="564">
        <f>甲府!I22</f>
        <v>2.6121428571428575</v>
      </c>
      <c r="H19" s="564">
        <f>甲府!J22</f>
        <v>0.15785714285714289</v>
      </c>
      <c r="I19" s="564">
        <f>甲府!K22</f>
        <v>8.6846153846153823E-2</v>
      </c>
      <c r="J19" s="564">
        <f>甲府!L22</f>
        <v>4.7333333333333324E-2</v>
      </c>
      <c r="K19" s="565">
        <f>甲府!M22</f>
        <v>116.78571428571429</v>
      </c>
      <c r="L19" s="564">
        <f>甲府!N22</f>
        <v>15.983333333333334</v>
      </c>
      <c r="M19" s="564">
        <f>甲府!O22</f>
        <v>18.642857142857142</v>
      </c>
      <c r="N19" s="564">
        <f>甲府!P22</f>
        <v>100.21428571428571</v>
      </c>
      <c r="O19" s="564">
        <f>甲府!Q22</f>
        <v>45.53846153846154</v>
      </c>
      <c r="P19" s="564">
        <f>甲府!R22</f>
        <v>4.5999999999999999E-3</v>
      </c>
      <c r="Q19" s="564">
        <f>甲府!S22</f>
        <v>0.94923076923076921</v>
      </c>
      <c r="R19" s="564">
        <f>甲府!T22</f>
        <v>4.7671428571428569</v>
      </c>
      <c r="S19" s="564">
        <f>甲府!U22</f>
        <v>0.57199999999999984</v>
      </c>
      <c r="T19" s="564">
        <f>甲府!V22</f>
        <v>2.6150000000000007</v>
      </c>
      <c r="U19" s="564">
        <f>甲府!W22</f>
        <v>36.071428571428569</v>
      </c>
      <c r="V19" s="564">
        <f>甲府!X22</f>
        <v>3.0099999999999995E-2</v>
      </c>
      <c r="W19" s="564">
        <f>甲府!Y22</f>
        <v>1.6892857142857143</v>
      </c>
      <c r="X19" s="564">
        <f>甲府!Z22</f>
        <v>3.3142857142857145</v>
      </c>
      <c r="Y19" s="564">
        <f>甲府!AA22</f>
        <v>24.221428571428572</v>
      </c>
      <c r="Z19" s="564">
        <f>甲府!AB22</f>
        <v>0.73207692307692318</v>
      </c>
      <c r="AA19" s="564">
        <f>甲府!AC22</f>
        <v>0.69416666666666671</v>
      </c>
      <c r="AB19" s="564">
        <f>甲府!AD22</f>
        <v>0.10983333333333332</v>
      </c>
      <c r="AC19" s="564">
        <f>甲府!AE22</f>
        <v>0.30000000000000004</v>
      </c>
      <c r="AD19" s="564">
        <f>甲府!AF22</f>
        <v>0.90071428571428558</v>
      </c>
      <c r="AE19" s="564">
        <f>甲府!AG22</f>
        <v>2.9999999999999996E-3</v>
      </c>
      <c r="AF19" s="564">
        <f>甲府!AH22</f>
        <v>3.528571428571428</v>
      </c>
      <c r="AG19" s="564">
        <f>甲府!AI22</f>
        <v>7.369230769230771E-2</v>
      </c>
      <c r="AH19" s="564">
        <f>甲府!AJ22</f>
        <v>5.7142857142857148E-2</v>
      </c>
      <c r="AI19" s="564">
        <f>甲府!AK22</f>
        <v>5.9999999999999993E-3</v>
      </c>
      <c r="AJ19" s="564">
        <f>甲府!AL22</f>
        <v>1.3541666666666667E-3</v>
      </c>
      <c r="AK19" s="564">
        <f>甲府!AM22</f>
        <v>7.9461538461538472E-2</v>
      </c>
      <c r="AL19" s="564">
        <f>甲府!AN22</f>
        <v>8.8571428571428579E-4</v>
      </c>
      <c r="AM19" s="564">
        <f>甲府!AO22</f>
        <v>1.0266666666666664E-3</v>
      </c>
      <c r="AN19" s="564">
        <f>甲府!AP22</f>
        <v>3.632857142857143</v>
      </c>
      <c r="AO19" s="564" t="e">
        <f>甲府!AQ22</f>
        <v>#DIV/0!</v>
      </c>
      <c r="AP19" s="565">
        <f>甲府!AR22</f>
        <v>1.95E-2</v>
      </c>
      <c r="AQ19" s="564">
        <f>甲府!AS22</f>
        <v>1.4571428571428573</v>
      </c>
      <c r="AR19" s="564">
        <f>甲府!AT22</f>
        <v>1.0514285714285716</v>
      </c>
      <c r="AS19" s="564">
        <f>甲府!AU22</f>
        <v>0.72857142857142854</v>
      </c>
      <c r="AT19" s="564">
        <f>甲府!AV22</f>
        <v>1.227857142857143</v>
      </c>
      <c r="AU19" s="564">
        <f>甲府!AW22</f>
        <v>1.2557142857142858</v>
      </c>
      <c r="AV19" s="564">
        <f>甲府!AX22</f>
        <v>1.1678571428571429</v>
      </c>
      <c r="AW19" s="564">
        <f>甲府!AY22</f>
        <v>3.9227272727272722E-2</v>
      </c>
      <c r="AX19" s="565">
        <f>甲府!AZ22</f>
        <v>4.4714285714285715</v>
      </c>
      <c r="AY19" s="564">
        <f>甲府!BA22</f>
        <v>1.2192857142857143</v>
      </c>
      <c r="AZ19" s="567">
        <f>甲府!BB22</f>
        <v>3.9785714285714282</v>
      </c>
      <c r="BA19" s="566"/>
    </row>
    <row r="20" spans="1:53" x14ac:dyDescent="0.2">
      <c r="A20" t="s">
        <v>321</v>
      </c>
      <c r="B20" s="567">
        <f>吉田!D22</f>
        <v>21.342857142857149</v>
      </c>
      <c r="C20" s="565">
        <f>吉田!E22</f>
        <v>5.9999999999999993E-3</v>
      </c>
      <c r="D20" s="564">
        <f>吉田!F22</f>
        <v>5.484615384615385E-2</v>
      </c>
      <c r="E20" s="564">
        <f>吉田!G22</f>
        <v>8.2421428571428574</v>
      </c>
      <c r="F20" s="564">
        <f>吉田!H22</f>
        <v>4.8200000000000007E-2</v>
      </c>
      <c r="G20" s="564">
        <f>吉田!I22</f>
        <v>2.8887142857142858</v>
      </c>
      <c r="H20" s="564">
        <f>吉田!J22</f>
        <v>0.16857142857142857</v>
      </c>
      <c r="I20" s="564">
        <f>吉田!K22</f>
        <v>8.7071428571428564E-2</v>
      </c>
      <c r="J20" s="564">
        <f>吉田!L22</f>
        <v>3.2999999999999995E-2</v>
      </c>
      <c r="K20" s="565">
        <f>吉田!M22</f>
        <v>75.75</v>
      </c>
      <c r="L20" s="564">
        <f>吉田!N22</f>
        <v>20.764285714285712</v>
      </c>
      <c r="M20" s="564">
        <f>吉田!O22</f>
        <v>19.435714285714287</v>
      </c>
      <c r="N20" s="564">
        <f>吉田!P22</f>
        <v>94.538461538461533</v>
      </c>
      <c r="O20" s="564">
        <f>吉田!Q22</f>
        <v>21</v>
      </c>
      <c r="P20" s="564">
        <f>吉田!R22</f>
        <v>4.5999999999999999E-3</v>
      </c>
      <c r="Q20" s="564">
        <f>吉田!S22</f>
        <v>1.3978571428571429</v>
      </c>
      <c r="R20" s="564">
        <f>吉田!T22</f>
        <v>3.1042857142857145</v>
      </c>
      <c r="S20" s="564">
        <f>吉田!U22</f>
        <v>0.71099999999999985</v>
      </c>
      <c r="T20" s="564">
        <f>吉田!V22</f>
        <v>2.0814285714285714</v>
      </c>
      <c r="U20" s="564">
        <f>吉田!W22</f>
        <v>32.692307692307693</v>
      </c>
      <c r="V20" s="564">
        <f>吉田!X22</f>
        <v>2.5176923076923079E-2</v>
      </c>
      <c r="W20" s="564">
        <f>吉田!Y22</f>
        <v>1.1538461538461537</v>
      </c>
      <c r="X20" s="564">
        <f>吉田!Z22</f>
        <v>2.9971428571428578</v>
      </c>
      <c r="Y20" s="564">
        <f>吉田!AA22</f>
        <v>31.076923076923077</v>
      </c>
      <c r="Z20" s="564">
        <f>吉田!AB22</f>
        <v>0.69750000000000012</v>
      </c>
      <c r="AA20" s="564">
        <f>吉田!AC22</f>
        <v>0.58666666666666678</v>
      </c>
      <c r="AB20" s="564">
        <f>吉田!AD22</f>
        <v>8.1272727272727274E-2</v>
      </c>
      <c r="AC20" s="564">
        <f>吉田!AE22</f>
        <v>0.20818181818181813</v>
      </c>
      <c r="AD20" s="564">
        <f>吉田!AF22</f>
        <v>0.8094285714285715</v>
      </c>
      <c r="AE20" s="564">
        <f>吉田!AG22</f>
        <v>2.9999999999999996E-3</v>
      </c>
      <c r="AF20" s="564">
        <f>吉田!AH22</f>
        <v>3.8864285714285716</v>
      </c>
      <c r="AG20" s="564">
        <f>吉田!AI22</f>
        <v>2.891666666666667E-2</v>
      </c>
      <c r="AH20" s="564">
        <f>吉田!AJ22</f>
        <v>4.0166666666666663E-2</v>
      </c>
      <c r="AI20" s="564">
        <f>吉田!AK22</f>
        <v>5.9999999999999993E-3</v>
      </c>
      <c r="AJ20" s="564">
        <f>吉田!AL22</f>
        <v>7.7125000000000002E-4</v>
      </c>
      <c r="AK20" s="564">
        <f>吉田!AM22</f>
        <v>3.9333333333333331E-2</v>
      </c>
      <c r="AL20" s="564">
        <f>吉田!AN22</f>
        <v>6.9999999999999999E-4</v>
      </c>
      <c r="AM20" s="564">
        <f>吉田!AO22</f>
        <v>4.0999999999999988E-4</v>
      </c>
      <c r="AN20" s="564">
        <f>吉田!AP22</f>
        <v>3.2700714285714292</v>
      </c>
      <c r="AO20" s="564" t="e">
        <f>吉田!AQ22</f>
        <v>#DIV/0!</v>
      </c>
      <c r="AP20" s="565">
        <f>吉田!AR22</f>
        <v>1.8857142857142857E-2</v>
      </c>
      <c r="AQ20" s="564">
        <f>吉田!AS22</f>
        <v>1.2507142857142857</v>
      </c>
      <c r="AR20" s="564">
        <f>吉田!AT22</f>
        <v>0.89928571428571413</v>
      </c>
      <c r="AS20" s="564">
        <f>吉田!AU22</f>
        <v>0.58642857142857141</v>
      </c>
      <c r="AT20" s="564">
        <f>吉田!AV22</f>
        <v>0.97142857142857142</v>
      </c>
      <c r="AU20" s="564">
        <f>吉田!AW22</f>
        <v>1.0064285714285715</v>
      </c>
      <c r="AV20" s="564">
        <f>吉田!AX22</f>
        <v>1.2949999999999999</v>
      </c>
      <c r="AW20" s="564">
        <f>吉田!AY22</f>
        <v>3.8714285714285708E-2</v>
      </c>
      <c r="AX20" s="565">
        <f>吉田!AZ22</f>
        <v>3.7135714285714294</v>
      </c>
      <c r="AY20" s="564">
        <f>吉田!BA22</f>
        <v>1.349285714285714</v>
      </c>
      <c r="AZ20" s="567">
        <f>吉田!BB22</f>
        <v>4.0242857142857149</v>
      </c>
      <c r="BA20" s="566"/>
    </row>
    <row r="21" spans="1:53" x14ac:dyDescent="0.2">
      <c r="A21" t="s">
        <v>602</v>
      </c>
      <c r="B21" s="567">
        <f>長野!D22</f>
        <v>16.242857142857144</v>
      </c>
      <c r="C21" s="565">
        <f>長野!E22</f>
        <v>1.6024999999999998E-2</v>
      </c>
      <c r="D21" s="564">
        <f>長野!F22</f>
        <v>0.10138461538461539</v>
      </c>
      <c r="E21" s="564">
        <f>長野!G22</f>
        <v>4.8992857142857149</v>
      </c>
      <c r="F21" s="564">
        <f>長野!H22</f>
        <v>4.2035714285714287E-2</v>
      </c>
      <c r="G21" s="564">
        <f>長野!I22</f>
        <v>1.6972142857142856</v>
      </c>
      <c r="H21" s="564">
        <f>長野!J22</f>
        <v>6.6357142857142865E-2</v>
      </c>
      <c r="I21" s="564">
        <f>長野!K22</f>
        <v>9.4500000000000001E-3</v>
      </c>
      <c r="J21" s="564">
        <f>長野!L22</f>
        <v>2.7214285714285712E-2</v>
      </c>
      <c r="K21" s="565">
        <f>長野!M22</f>
        <v>75.615384615384613</v>
      </c>
      <c r="L21" s="564">
        <f>長野!N22</f>
        <v>48.199999999999996</v>
      </c>
      <c r="M21" s="564" t="e">
        <f>長野!O22</f>
        <v>#DIV/0!</v>
      </c>
      <c r="N21" s="564">
        <f>長野!P22</f>
        <v>96.071428571428569</v>
      </c>
      <c r="O21" s="564">
        <f>長野!Q22</f>
        <v>46.18181818181818</v>
      </c>
      <c r="P21" s="564">
        <f>長野!R22</f>
        <v>9.499999999999998E-3</v>
      </c>
      <c r="Q21" s="564">
        <f>長野!S22</f>
        <v>5.95</v>
      </c>
      <c r="R21" s="564">
        <f>長野!T22</f>
        <v>2.0092857142857143</v>
      </c>
      <c r="S21" s="564">
        <f>長野!U22</f>
        <v>1.0341666666666667</v>
      </c>
      <c r="T21" s="564">
        <f>長野!V22</f>
        <v>4.5071428571428571</v>
      </c>
      <c r="U21" s="564">
        <f>長野!W22</f>
        <v>56.571428571428569</v>
      </c>
      <c r="V21" s="564">
        <f>長野!X22</f>
        <v>3.6499999999999998E-2</v>
      </c>
      <c r="W21" s="564">
        <f>長野!Y22</f>
        <v>0.86657142857142855</v>
      </c>
      <c r="X21" s="564">
        <f>長野!Z22</f>
        <v>3.9499999999999997</v>
      </c>
      <c r="Y21" s="564">
        <f>長野!AA22</f>
        <v>20.214285714285715</v>
      </c>
      <c r="Z21" s="564">
        <f>長野!AB22</f>
        <v>0.9553571428571429</v>
      </c>
      <c r="AA21" s="564">
        <f>長野!AC22</f>
        <v>0.72692307692307689</v>
      </c>
      <c r="AB21" s="564">
        <f>長野!AD22</f>
        <v>0.20864285714285713</v>
      </c>
      <c r="AC21" s="564">
        <f>長野!AE22</f>
        <v>0.42785714285714288</v>
      </c>
      <c r="AD21" s="564">
        <f>長野!AF22</f>
        <v>1.0657142857142858</v>
      </c>
      <c r="AE21" s="564">
        <f>長野!AG22</f>
        <v>2.3242857142857145E-2</v>
      </c>
      <c r="AF21" s="564">
        <f>長野!AH22</f>
        <v>4.5642857142857141</v>
      </c>
      <c r="AG21" s="564">
        <f>長野!AI22</f>
        <v>4.016923076923077E-2</v>
      </c>
      <c r="AH21" s="564">
        <f>長野!AJ22</f>
        <v>7.2166666666666671E-2</v>
      </c>
      <c r="AI21" s="564">
        <f>長野!AK22</f>
        <v>3.0650000000000004E-3</v>
      </c>
      <c r="AJ21" s="564">
        <f>長野!AL22</f>
        <v>9.585714285714286E-3</v>
      </c>
      <c r="AK21" s="564">
        <f>長野!AM22</f>
        <v>0.14200714285714283</v>
      </c>
      <c r="AL21" s="564" t="e">
        <f>長野!AN22</f>
        <v>#DIV/0!</v>
      </c>
      <c r="AM21" s="564">
        <f>長野!AO22</f>
        <v>5.9142857142857139E-3</v>
      </c>
      <c r="AN21" s="564">
        <f>長野!AP22</f>
        <v>5.2857142857142856</v>
      </c>
      <c r="AO21" s="564">
        <f>長野!AQ22</f>
        <v>0.16742857142857145</v>
      </c>
      <c r="AP21" s="565">
        <f>長野!AR22</f>
        <v>1.342857142857143E-2</v>
      </c>
      <c r="AQ21" s="564">
        <f>長野!AS22</f>
        <v>0.62714285714285711</v>
      </c>
      <c r="AR21" s="564">
        <f>長野!AT22</f>
        <v>0.8978571428571428</v>
      </c>
      <c r="AS21" s="564">
        <f>長野!AU22</f>
        <v>0.34428571428571436</v>
      </c>
      <c r="AT21" s="564">
        <f>長野!AV22</f>
        <v>1.0033333333333332</v>
      </c>
      <c r="AU21" s="564">
        <f>長野!AW22</f>
        <v>1.1385714285714286</v>
      </c>
      <c r="AV21" s="564">
        <f>長野!AX22</f>
        <v>0.45721428571428574</v>
      </c>
      <c r="AW21" s="564">
        <f>長野!AY22</f>
        <v>0.11399999999999999</v>
      </c>
      <c r="AX21" s="565">
        <f>長野!AZ22</f>
        <v>2.7364285714285712</v>
      </c>
      <c r="AY21" s="564">
        <f>長野!BA22</f>
        <v>0.84285714285714275</v>
      </c>
      <c r="AZ21" s="567" t="e">
        <f>長野!BB22</f>
        <v>#DIV/0!</v>
      </c>
      <c r="BA21" s="566"/>
    </row>
    <row r="22" spans="1:53" x14ac:dyDescent="0.2">
      <c r="A22" t="s">
        <v>603</v>
      </c>
      <c r="B22" s="567">
        <f>富士!D22</f>
        <v>21.121428571428574</v>
      </c>
      <c r="C22" s="565">
        <f>富士!E22</f>
        <v>3.3514285714285712E-2</v>
      </c>
      <c r="D22" s="564">
        <f>富士!F22</f>
        <v>3.8642857142857152E-2</v>
      </c>
      <c r="E22" s="564">
        <f>富士!G22</f>
        <v>8.8142857142857149</v>
      </c>
      <c r="F22" s="564">
        <f>富士!H22</f>
        <v>0.22407692307692309</v>
      </c>
      <c r="G22" s="564">
        <f>富士!I22</f>
        <v>3.4292857142857143</v>
      </c>
      <c r="H22" s="564">
        <f>富士!J22</f>
        <v>7.8071428571428569E-2</v>
      </c>
      <c r="I22" s="564">
        <f>富士!K22</f>
        <v>2.9000000000000008E-2</v>
      </c>
      <c r="J22" s="564">
        <f>富士!L22</f>
        <v>9.5374999999999988E-2</v>
      </c>
      <c r="K22" s="565">
        <f>富士!M22</f>
        <v>276.71428571428572</v>
      </c>
      <c r="L22" s="564">
        <f>富士!N22</f>
        <v>32.07692307692308</v>
      </c>
      <c r="M22" s="564">
        <f>富士!O22</f>
        <v>33.545454545454547</v>
      </c>
      <c r="N22" s="564">
        <f>富士!P22</f>
        <v>135.28571428571428</v>
      </c>
      <c r="O22" s="564">
        <f>富士!Q22</f>
        <v>112.04166666666667</v>
      </c>
      <c r="P22" s="564">
        <f>富士!R22</f>
        <v>1.2499999999999999E-2</v>
      </c>
      <c r="Q22" s="564">
        <f>富士!S22</f>
        <v>2.7166666666666668</v>
      </c>
      <c r="R22" s="564">
        <f>富士!T22</f>
        <v>22.614285714285717</v>
      </c>
      <c r="S22" s="564">
        <f>富士!U22</f>
        <v>3.0124999999999993</v>
      </c>
      <c r="T22" s="564">
        <f>富士!V22</f>
        <v>3.8292857142857142</v>
      </c>
      <c r="U22" s="564">
        <f>富士!W22</f>
        <v>57.384615384615387</v>
      </c>
      <c r="V22" s="564">
        <f>富士!X22</f>
        <v>6.9857142857142854E-2</v>
      </c>
      <c r="W22" s="564">
        <f>富士!Y22</f>
        <v>7.7071428571428564</v>
      </c>
      <c r="X22" s="564">
        <f>富士!Z22</f>
        <v>4.3449999999999998</v>
      </c>
      <c r="Y22" s="564">
        <f>富士!AA22</f>
        <v>46.680769230769229</v>
      </c>
      <c r="Z22" s="564">
        <f>富士!AB22</f>
        <v>1.4738461538461538</v>
      </c>
      <c r="AA22" s="564">
        <f>富士!AC22</f>
        <v>1.463846153846154</v>
      </c>
      <c r="AB22" s="564">
        <f>富士!AD22</f>
        <v>0.22040000000000001</v>
      </c>
      <c r="AC22" s="564">
        <f>富士!AE22</f>
        <v>0.67846153846153845</v>
      </c>
      <c r="AD22" s="564">
        <f>富士!AF22</f>
        <v>0.96735714285714292</v>
      </c>
      <c r="AE22" s="564">
        <f>富士!AG22</f>
        <v>5.9999999999999993E-3</v>
      </c>
      <c r="AF22" s="564">
        <f>富士!AH22</f>
        <v>4.0307142857142866</v>
      </c>
      <c r="AG22" s="564">
        <f>富士!AI22</f>
        <v>7.4999999999999983E-2</v>
      </c>
      <c r="AH22" s="564">
        <f>富士!AJ22</f>
        <v>0.124</v>
      </c>
      <c r="AI22" s="564">
        <f>富士!AK22</f>
        <v>2.8500000000000005E-3</v>
      </c>
      <c r="AJ22" s="564">
        <f>富士!AL22</f>
        <v>2.81E-3</v>
      </c>
      <c r="AK22" s="564">
        <f>富士!AM22</f>
        <v>0.10907692307692307</v>
      </c>
      <c r="AL22" s="564">
        <f>富士!AN22</f>
        <v>5.5000000000000003E-4</v>
      </c>
      <c r="AM22" s="564">
        <f>富士!AO22</f>
        <v>8.9999999999999993E-3</v>
      </c>
      <c r="AN22" s="564">
        <f>富士!AP22</f>
        <v>5.8040714285714285</v>
      </c>
      <c r="AO22" s="564">
        <f>富士!AQ22</f>
        <v>0.28684615384615381</v>
      </c>
      <c r="AP22" s="565">
        <f>富士!AR22</f>
        <v>8.0000000000000002E-3</v>
      </c>
      <c r="AQ22" s="564">
        <f>富士!AS22</f>
        <v>0.57454545454545447</v>
      </c>
      <c r="AR22" s="564">
        <f>富士!AT22</f>
        <v>0.55124999999999991</v>
      </c>
      <c r="AS22" s="564">
        <f>富士!AU22</f>
        <v>0.38571428571428568</v>
      </c>
      <c r="AT22" s="564">
        <f>富士!AV22</f>
        <v>0.61571428571428566</v>
      </c>
      <c r="AU22" s="564">
        <f>富士!AW22</f>
        <v>0.7757142857142858</v>
      </c>
      <c r="AV22" s="564">
        <f>富士!AX22</f>
        <v>1.0557142857142856</v>
      </c>
      <c r="AW22" s="564">
        <f>富士!AY22</f>
        <v>2.3999999999999997E-2</v>
      </c>
      <c r="AX22" s="565">
        <f>富士!AZ22</f>
        <v>1.9085714285714286</v>
      </c>
      <c r="AY22" s="564">
        <f>富士!BA22</f>
        <v>1.2214285714285715</v>
      </c>
      <c r="AZ22" s="567" t="e">
        <f>富士!BB22</f>
        <v>#DIV/0!</v>
      </c>
      <c r="BA22" s="566"/>
    </row>
    <row r="23" spans="1:53" x14ac:dyDescent="0.2">
      <c r="A23" t="s">
        <v>604</v>
      </c>
      <c r="B23" s="567">
        <f>湖西!D22</f>
        <v>18.235714285714288</v>
      </c>
      <c r="C23" s="565">
        <f>湖西!E22</f>
        <v>4.8142857142857145E-3</v>
      </c>
      <c r="D23" s="564">
        <f>湖西!F22</f>
        <v>5.1500000000000004E-2</v>
      </c>
      <c r="E23" s="564">
        <f>湖西!G22</f>
        <v>7.8328571428571427</v>
      </c>
      <c r="F23" s="564">
        <f>湖西!H22</f>
        <v>0.1502857142857143</v>
      </c>
      <c r="G23" s="564">
        <f>湖西!I22</f>
        <v>3.3192857142857144</v>
      </c>
      <c r="H23" s="564">
        <f>湖西!J22</f>
        <v>8.9714285714285719E-2</v>
      </c>
      <c r="I23" s="564">
        <f>湖西!K22</f>
        <v>2.1978571428571434E-2</v>
      </c>
      <c r="J23" s="564">
        <f>湖西!L22</f>
        <v>7.1999999999999995E-2</v>
      </c>
      <c r="K23" s="565">
        <f>湖西!M22</f>
        <v>191.5</v>
      </c>
      <c r="L23" s="564">
        <f>湖西!N22</f>
        <v>29.555555555555557</v>
      </c>
      <c r="M23" s="564">
        <f>湖西!O22</f>
        <v>32.777777777777779</v>
      </c>
      <c r="N23" s="564">
        <f>湖西!P22</f>
        <v>129.5</v>
      </c>
      <c r="O23" s="564">
        <f>湖西!Q22</f>
        <v>69.833333333333329</v>
      </c>
      <c r="P23" s="564">
        <f>湖西!R22</f>
        <v>1.2499999999999999E-2</v>
      </c>
      <c r="Q23" s="564">
        <f>湖西!S22</f>
        <v>2.6687499999999997</v>
      </c>
      <c r="R23" s="564">
        <f>湖西!T22</f>
        <v>14.035714285714286</v>
      </c>
      <c r="S23" s="564">
        <f>湖西!U22</f>
        <v>1.02</v>
      </c>
      <c r="T23" s="564">
        <f>湖西!V22</f>
        <v>5.4364285714285714</v>
      </c>
      <c r="U23" s="564">
        <f>湖西!W22</f>
        <v>70.714285714285708</v>
      </c>
      <c r="V23" s="564">
        <f>湖西!X22</f>
        <v>7.2461538461538466E-2</v>
      </c>
      <c r="W23" s="564">
        <f>湖西!Y22</f>
        <v>4.0664285714285713</v>
      </c>
      <c r="X23" s="564">
        <f>湖西!Z22</f>
        <v>4.8500000000000005</v>
      </c>
      <c r="Y23" s="564">
        <f>湖西!AA22</f>
        <v>59.828571428571429</v>
      </c>
      <c r="Z23" s="564">
        <f>湖西!AB22</f>
        <v>1.8846153846153846</v>
      </c>
      <c r="AA23" s="564">
        <f>湖西!AC22</f>
        <v>1.6615384615384614</v>
      </c>
      <c r="AB23" s="564">
        <f>湖西!AD22</f>
        <v>0.2640909090909091</v>
      </c>
      <c r="AC23" s="564">
        <f>湖西!AE22</f>
        <v>0.60115384615384615</v>
      </c>
      <c r="AD23" s="564">
        <f>湖西!AF22</f>
        <v>1.2127857142857141</v>
      </c>
      <c r="AE23" s="564">
        <f>湖西!AG22</f>
        <v>5.9999999999999993E-3</v>
      </c>
      <c r="AF23" s="564">
        <f>湖西!AH22</f>
        <v>3.43</v>
      </c>
      <c r="AG23" s="564">
        <f>湖西!AI22</f>
        <v>5.9357142857142865E-2</v>
      </c>
      <c r="AH23" s="564">
        <f>湖西!AJ22</f>
        <v>9.9714285714285728E-2</v>
      </c>
      <c r="AI23" s="564">
        <f>湖西!AK22</f>
        <v>2.8500000000000005E-3</v>
      </c>
      <c r="AJ23" s="564">
        <f>湖西!AL22</f>
        <v>1.3874999999999998E-3</v>
      </c>
      <c r="AK23" s="564">
        <f>湖西!AM22</f>
        <v>0.19587499999999999</v>
      </c>
      <c r="AL23" s="564">
        <f>湖西!AN22</f>
        <v>7.4999999999999991E-4</v>
      </c>
      <c r="AM23" s="564">
        <f>湖西!AO22</f>
        <v>8.9999999999999993E-3</v>
      </c>
      <c r="AN23" s="564">
        <f>湖西!AP22</f>
        <v>10.197142857142856</v>
      </c>
      <c r="AO23" s="564">
        <f>湖西!AQ22</f>
        <v>0.32408333333333333</v>
      </c>
      <c r="AP23" s="565">
        <f>湖西!AR22</f>
        <v>2.6499999999999999E-2</v>
      </c>
      <c r="AQ23" s="564">
        <f>湖西!AS22</f>
        <v>0.48285714285714293</v>
      </c>
      <c r="AR23" s="564">
        <f>湖西!AT22</f>
        <v>0.49071428571428566</v>
      </c>
      <c r="AS23" s="564">
        <f>湖西!AU22</f>
        <v>0.37142857142857144</v>
      </c>
      <c r="AT23" s="564">
        <f>湖西!AV22</f>
        <v>0.5654285714285715</v>
      </c>
      <c r="AU23" s="564">
        <f>湖西!AW22</f>
        <v>0.63378571428571429</v>
      </c>
      <c r="AV23" s="564">
        <f>湖西!AX22</f>
        <v>0.72</v>
      </c>
      <c r="AW23" s="564">
        <f>湖西!AY22</f>
        <v>9.7777777777777793E-3</v>
      </c>
      <c r="AX23" s="565">
        <f>湖西!AZ22</f>
        <v>1.6400000000000003</v>
      </c>
      <c r="AY23" s="564">
        <f>湖西!BA22</f>
        <v>0.7964285714285716</v>
      </c>
      <c r="AZ23" s="567" t="e">
        <f>湖西!BB22</f>
        <v>#DIV/0!</v>
      </c>
      <c r="BA23" s="566"/>
    </row>
    <row r="24" spans="1:53" x14ac:dyDescent="0.2">
      <c r="A24" t="s">
        <v>605</v>
      </c>
      <c r="B24" s="567">
        <f>静岡!D22</f>
        <v>21.628571428571433</v>
      </c>
      <c r="C24" s="565">
        <f>静岡!E22</f>
        <v>5.5E-2</v>
      </c>
      <c r="D24" s="564">
        <f>静岡!F22</f>
        <v>9.6416666666666664E-2</v>
      </c>
      <c r="E24" s="564">
        <f>静岡!G22</f>
        <v>7.5314285714285711</v>
      </c>
      <c r="F24" s="564">
        <f>静岡!H22</f>
        <v>0.15863636363636366</v>
      </c>
      <c r="G24" s="564">
        <f>静岡!I22</f>
        <v>3.1721428571428576</v>
      </c>
      <c r="H24" s="564">
        <f>静岡!J22</f>
        <v>0.14335714285714288</v>
      </c>
      <c r="I24" s="564">
        <f>静岡!K22</f>
        <v>1.6781818181818179E-2</v>
      </c>
      <c r="J24" s="564">
        <f>静岡!L22</f>
        <v>3.4000000000000002E-2</v>
      </c>
      <c r="K24" s="565">
        <f>静岡!M22</f>
        <v>220.21428571428572</v>
      </c>
      <c r="L24" s="564">
        <f>静岡!N22</f>
        <v>17.278571428571428</v>
      </c>
      <c r="M24" s="564">
        <f>静岡!O22</f>
        <v>19.071428571428573</v>
      </c>
      <c r="N24" s="564">
        <f>静岡!P22</f>
        <v>182.14285714285714</v>
      </c>
      <c r="O24" s="564">
        <f>静岡!Q22</f>
        <v>97.642857142857139</v>
      </c>
      <c r="P24" s="564">
        <f>静岡!R22</f>
        <v>4.5999999999999999E-3</v>
      </c>
      <c r="Q24" s="564">
        <f>静岡!S22</f>
        <v>1.0533333333333332</v>
      </c>
      <c r="R24" s="564">
        <f>静岡!T22</f>
        <v>9.8071428571428587</v>
      </c>
      <c r="S24" s="564">
        <f>静岡!U22</f>
        <v>2.4128571428571428</v>
      </c>
      <c r="T24" s="564">
        <f>静岡!V22</f>
        <v>3.7257142857142864</v>
      </c>
      <c r="U24" s="564">
        <f>静岡!W22</f>
        <v>34.166666666666664</v>
      </c>
      <c r="V24" s="564">
        <f>静岡!X22</f>
        <v>5.4035714285714291E-2</v>
      </c>
      <c r="W24" s="564">
        <f>静岡!Y22</f>
        <v>3.0485714285714285</v>
      </c>
      <c r="X24" s="564">
        <f>静岡!Z22</f>
        <v>4.3357142857142863</v>
      </c>
      <c r="Y24" s="564">
        <f>静岡!AA22</f>
        <v>42.821428571428569</v>
      </c>
      <c r="Z24" s="564">
        <f>静岡!AB22</f>
        <v>1.1744285714285714</v>
      </c>
      <c r="AA24" s="564">
        <f>静岡!AC22</f>
        <v>1.0636153846153846</v>
      </c>
      <c r="AB24" s="564">
        <f>静岡!AD22</f>
        <v>0.20107692307692307</v>
      </c>
      <c r="AC24" s="564">
        <f>静岡!AE22</f>
        <v>0.5838461538461539</v>
      </c>
      <c r="AD24" s="564">
        <f>静岡!AF22</f>
        <v>0.80678571428571433</v>
      </c>
      <c r="AE24" s="564">
        <f>静岡!AG22</f>
        <v>2.9999999999999996E-3</v>
      </c>
      <c r="AF24" s="564">
        <f>静岡!AH22</f>
        <v>6.1357142857142861</v>
      </c>
      <c r="AG24" s="564">
        <f>静岡!AI22</f>
        <v>5.2000000000000011E-2</v>
      </c>
      <c r="AH24" s="564">
        <f>静岡!AJ22</f>
        <v>5.2228571428571437E-2</v>
      </c>
      <c r="AI24" s="564">
        <f>静岡!AK22</f>
        <v>5.9999999999999993E-3</v>
      </c>
      <c r="AJ24" s="564">
        <f>静岡!AL22</f>
        <v>6.3750000000000005E-4</v>
      </c>
      <c r="AK24" s="564">
        <f>静岡!AM22</f>
        <v>0.19638461538461538</v>
      </c>
      <c r="AL24" s="564">
        <f>静岡!AN22</f>
        <v>8.0000000000000015E-4</v>
      </c>
      <c r="AM24" s="564">
        <f>静岡!AO22</f>
        <v>7.0750000000000001E-4</v>
      </c>
      <c r="AN24" s="564">
        <f>静岡!AP22</f>
        <v>5.3199999999999994</v>
      </c>
      <c r="AO24" s="564" t="e">
        <f>静岡!AQ22</f>
        <v>#DIV/0!</v>
      </c>
      <c r="AP24" s="565">
        <f>静岡!AR22</f>
        <v>1.2999999999999999E-2</v>
      </c>
      <c r="AQ24" s="564">
        <f>静岡!AS22</f>
        <v>1.1164285714285713</v>
      </c>
      <c r="AR24" s="564">
        <f>静岡!AT22</f>
        <v>0.82928571428571451</v>
      </c>
      <c r="AS24" s="564">
        <f>静岡!AU22</f>
        <v>0.57357142857142862</v>
      </c>
      <c r="AT24" s="564">
        <f>静岡!AV22</f>
        <v>0.98071428571428565</v>
      </c>
      <c r="AU24" s="564">
        <f>静岡!AW22</f>
        <v>1.0457142857142858</v>
      </c>
      <c r="AV24" s="564">
        <f>静岡!AX22</f>
        <v>1.0764285714285715</v>
      </c>
      <c r="AW24" s="564">
        <f>静岡!AY22</f>
        <v>2.290909090909091E-2</v>
      </c>
      <c r="AX24" s="565">
        <f>静岡!AZ22</f>
        <v>3.4907142857142861</v>
      </c>
      <c r="AY24" s="564">
        <f>静岡!BA22</f>
        <v>1.1514285714285715</v>
      </c>
      <c r="AZ24" s="567">
        <f>静岡!BB22</f>
        <v>3.1614285714285706</v>
      </c>
      <c r="BA24" s="566"/>
    </row>
    <row r="25" spans="1:53" x14ac:dyDescent="0.2">
      <c r="A25" t="s">
        <v>606</v>
      </c>
      <c r="B25" s="567">
        <f>浜松!D22</f>
        <v>19.807142857142857</v>
      </c>
      <c r="C25" s="565">
        <f>浜松!E22</f>
        <v>2.8476923076923084E-2</v>
      </c>
      <c r="D25" s="564">
        <f>浜松!F22</f>
        <v>0.16157142857142856</v>
      </c>
      <c r="E25" s="564">
        <f>浜松!G22</f>
        <v>6.855714285714285</v>
      </c>
      <c r="F25" s="564">
        <f>浜松!H22</f>
        <v>0.14407142857142857</v>
      </c>
      <c r="G25" s="564">
        <f>浜松!I22</f>
        <v>2.620714285714286</v>
      </c>
      <c r="H25" s="564">
        <f>浜松!J22</f>
        <v>9.5692307692307674E-2</v>
      </c>
      <c r="I25" s="564">
        <f>浜松!K22</f>
        <v>1.9133333333333339E-2</v>
      </c>
      <c r="J25" s="564">
        <f>浜松!L22</f>
        <v>5.2090909090909097E-2</v>
      </c>
      <c r="K25" s="565">
        <f>浜松!M22</f>
        <v>90.642857142857139</v>
      </c>
      <c r="L25" s="564">
        <f>浜松!N22</f>
        <v>32.727272727272727</v>
      </c>
      <c r="M25" s="564" t="e">
        <f>浜松!O22</f>
        <v>#DIV/0!</v>
      </c>
      <c r="N25" s="564">
        <f>浜松!P22</f>
        <v>53.178571428571431</v>
      </c>
      <c r="O25" s="564">
        <f>浜松!Q22</f>
        <v>21.428571428571427</v>
      </c>
      <c r="P25" s="564">
        <f>浜松!R22</f>
        <v>7</v>
      </c>
      <c r="Q25" s="564">
        <f>浜松!S22</f>
        <v>3.1062499999999997</v>
      </c>
      <c r="R25" s="564">
        <f>浜松!T22</f>
        <v>6.8857142857142852</v>
      </c>
      <c r="S25" s="564">
        <f>浜松!U22</f>
        <v>0.52812500000000007</v>
      </c>
      <c r="T25" s="564">
        <f>浜松!V22</f>
        <v>3.2957142857142854</v>
      </c>
      <c r="U25" s="564">
        <f>浜松!W22</f>
        <v>19.014285714285712</v>
      </c>
      <c r="V25" s="564">
        <f>浜松!X22</f>
        <v>5.1999999999999998E-2</v>
      </c>
      <c r="W25" s="564">
        <f>浜松!Y22</f>
        <v>2.0721428571428571</v>
      </c>
      <c r="X25" s="564">
        <f>浜松!Z22</f>
        <v>2.4950000000000001</v>
      </c>
      <c r="Y25" s="564">
        <f>浜松!AA22</f>
        <v>18.821428571428573</v>
      </c>
      <c r="Z25" s="564">
        <f>浜松!AB22</f>
        <v>0.94299999999999995</v>
      </c>
      <c r="AA25" s="564">
        <f>浜松!AC22</f>
        <v>0.63650000000000007</v>
      </c>
      <c r="AB25" s="564">
        <f>浜松!AD22</f>
        <v>0.14835714285714285</v>
      </c>
      <c r="AC25" s="564">
        <f>浜松!AE22</f>
        <v>1.75</v>
      </c>
      <c r="AD25" s="564">
        <f>浜松!AF22</f>
        <v>0.67444444444444451</v>
      </c>
      <c r="AE25" s="564">
        <f>浜松!AG22</f>
        <v>2.4483333333333333E-2</v>
      </c>
      <c r="AF25" s="564">
        <f>浜松!AH22</f>
        <v>3.2907142857142864</v>
      </c>
      <c r="AG25" s="564">
        <f>浜松!AI22</f>
        <v>3.5764285714285714E-2</v>
      </c>
      <c r="AH25" s="564">
        <f>浜松!AJ22</f>
        <v>5.7142857142857148E-2</v>
      </c>
      <c r="AI25" s="564">
        <f>浜松!AK22</f>
        <v>3.3100000000000004E-3</v>
      </c>
      <c r="AJ25" s="564">
        <f>浜松!AL22</f>
        <v>4.9888888888888899E-2</v>
      </c>
      <c r="AK25" s="564">
        <f>浜松!AM22</f>
        <v>0.32611111111111107</v>
      </c>
      <c r="AL25" s="564">
        <f>浜松!AN22</f>
        <v>2.2687499999999999E-2</v>
      </c>
      <c r="AM25" s="564">
        <f>浜松!AO22</f>
        <v>1.5264999999999996E-2</v>
      </c>
      <c r="AN25" s="564">
        <f>浜松!AP22</f>
        <v>3.5135714285714288</v>
      </c>
      <c r="AO25" s="564" t="e">
        <f>浜松!AQ22</f>
        <v>#DIV/0!</v>
      </c>
      <c r="AP25" s="565">
        <f>浜松!AR22</f>
        <v>2.75E-2</v>
      </c>
      <c r="AQ25" s="564">
        <f>浜松!AS22</f>
        <v>0.86461538461538467</v>
      </c>
      <c r="AR25" s="564">
        <f>浜松!AT22</f>
        <v>0.63428571428571423</v>
      </c>
      <c r="AS25" s="564">
        <f>浜松!AU22</f>
        <v>0.43228571428571433</v>
      </c>
      <c r="AT25" s="564">
        <f>浜松!AV22</f>
        <v>0.73385714285714287</v>
      </c>
      <c r="AU25" s="564">
        <f>浜松!AW22</f>
        <v>0.76992857142857141</v>
      </c>
      <c r="AV25" s="564">
        <f>浜松!AX22</f>
        <v>0.86214285714285721</v>
      </c>
      <c r="AW25" s="564">
        <f>浜松!AY22</f>
        <v>2.1000000000000001E-2</v>
      </c>
      <c r="AX25" s="565">
        <f>浜松!AZ22</f>
        <v>2.6064285714285718</v>
      </c>
      <c r="AY25" s="564">
        <f>浜松!BA22</f>
        <v>0.90142857142857136</v>
      </c>
      <c r="AZ25" s="567" t="e">
        <f>浜松!BB22</f>
        <v>#DIV/0!</v>
      </c>
      <c r="BA25" s="566"/>
    </row>
  </sheetData>
  <phoneticPr fontId="2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zoomScaleNormal="100" zoomScaleSheetLayoutView="90" workbookViewId="0">
      <selection activeCell="A2" sqref="A2"/>
    </sheetView>
  </sheetViews>
  <sheetFormatPr defaultColWidth="9" defaultRowHeight="14" x14ac:dyDescent="0.3"/>
  <cols>
    <col min="1" max="1" width="7.6328125" style="65" customWidth="1"/>
    <col min="2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102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104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鴻巣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106</v>
      </c>
      <c r="C4" s="85"/>
      <c r="D4" s="75"/>
      <c r="E4" s="75" t="s">
        <v>107</v>
      </c>
      <c r="F4" s="86" t="s">
        <v>108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環境科学国際センター</v>
      </c>
      <c r="AP4" s="81"/>
      <c r="AQ4" s="75"/>
      <c r="AR4" s="75" t="str">
        <f>E4</f>
        <v>担当者：</v>
      </c>
      <c r="AS4" s="75" t="str">
        <f>F4</f>
        <v>米持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S6" s="89" t="s">
        <v>112</v>
      </c>
      <c r="AW6" s="71"/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43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129</v>
      </c>
      <c r="J9" s="733"/>
      <c r="K9" s="732" t="s">
        <v>130</v>
      </c>
      <c r="L9" s="733"/>
      <c r="M9" s="732" t="s">
        <v>131</v>
      </c>
      <c r="N9" s="733"/>
      <c r="O9" s="732" t="s">
        <v>132</v>
      </c>
      <c r="P9" s="733"/>
      <c r="Q9" s="732" t="s">
        <v>133</v>
      </c>
      <c r="R9" s="733"/>
      <c r="S9" s="732" t="s">
        <v>134</v>
      </c>
      <c r="T9" s="733"/>
      <c r="U9" s="732" t="s">
        <v>135</v>
      </c>
      <c r="V9" s="733"/>
      <c r="W9" s="732" t="s">
        <v>136</v>
      </c>
      <c r="X9" s="733"/>
      <c r="Y9" s="732" t="s">
        <v>129</v>
      </c>
      <c r="Z9" s="733"/>
      <c r="AA9" s="732" t="s">
        <v>130</v>
      </c>
      <c r="AB9" s="733"/>
      <c r="AC9" s="732" t="s">
        <v>131</v>
      </c>
      <c r="AD9" s="733"/>
      <c r="AE9" s="732" t="s">
        <v>132</v>
      </c>
      <c r="AF9" s="733"/>
      <c r="AG9" s="732" t="s">
        <v>129</v>
      </c>
      <c r="AH9" s="733"/>
      <c r="AI9" s="732" t="s">
        <v>131</v>
      </c>
      <c r="AJ9" s="733"/>
      <c r="AK9" s="732" t="s">
        <v>132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149</v>
      </c>
      <c r="BF9" s="724" t="s">
        <v>129</v>
      </c>
      <c r="BG9" s="718" t="s">
        <v>130</v>
      </c>
      <c r="BH9" s="718" t="s">
        <v>131</v>
      </c>
      <c r="BI9" s="718" t="s">
        <v>132</v>
      </c>
      <c r="BJ9" s="718" t="s">
        <v>133</v>
      </c>
      <c r="BK9" s="718" t="s">
        <v>134</v>
      </c>
      <c r="BL9" s="718" t="s">
        <v>150</v>
      </c>
      <c r="BM9" s="720" t="s">
        <v>149</v>
      </c>
      <c r="BN9" s="103" t="s">
        <v>151</v>
      </c>
      <c r="BO9" s="103" t="s">
        <v>152</v>
      </c>
      <c r="BP9" s="103" t="s">
        <v>153</v>
      </c>
      <c r="BQ9" s="103" t="s">
        <v>154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159</v>
      </c>
      <c r="G10" s="108" t="s">
        <v>160</v>
      </c>
      <c r="H10" s="108" t="s">
        <v>160</v>
      </c>
      <c r="I10" s="109" t="s">
        <v>161</v>
      </c>
      <c r="J10" s="109" t="s">
        <v>162</v>
      </c>
      <c r="K10" s="109" t="s">
        <v>161</v>
      </c>
      <c r="L10" s="109" t="s">
        <v>162</v>
      </c>
      <c r="M10" s="109" t="s">
        <v>161</v>
      </c>
      <c r="N10" s="109" t="s">
        <v>162</v>
      </c>
      <c r="O10" s="109" t="s">
        <v>161</v>
      </c>
      <c r="P10" s="109" t="s">
        <v>162</v>
      </c>
      <c r="Q10" s="109" t="s">
        <v>161</v>
      </c>
      <c r="R10" s="109" t="s">
        <v>162</v>
      </c>
      <c r="S10" s="109" t="s">
        <v>161</v>
      </c>
      <c r="T10" s="109" t="s">
        <v>162</v>
      </c>
      <c r="U10" s="109" t="s">
        <v>161</v>
      </c>
      <c r="V10" s="109" t="s">
        <v>162</v>
      </c>
      <c r="W10" s="109" t="s">
        <v>161</v>
      </c>
      <c r="X10" s="109" t="s">
        <v>162</v>
      </c>
      <c r="Y10" s="109" t="s">
        <v>161</v>
      </c>
      <c r="Z10" s="109" t="s">
        <v>162</v>
      </c>
      <c r="AA10" s="109" t="s">
        <v>161</v>
      </c>
      <c r="AB10" s="109" t="s">
        <v>162</v>
      </c>
      <c r="AC10" s="109" t="s">
        <v>161</v>
      </c>
      <c r="AD10" s="109" t="s">
        <v>162</v>
      </c>
      <c r="AE10" s="109" t="s">
        <v>161</v>
      </c>
      <c r="AF10" s="109" t="s">
        <v>162</v>
      </c>
      <c r="AG10" s="109" t="s">
        <v>161</v>
      </c>
      <c r="AH10" s="109" t="s">
        <v>162</v>
      </c>
      <c r="AI10" s="109" t="s">
        <v>161</v>
      </c>
      <c r="AJ10" s="109" t="s">
        <v>162</v>
      </c>
      <c r="AK10" s="109" t="s">
        <v>161</v>
      </c>
      <c r="AL10" s="110" t="s">
        <v>162</v>
      </c>
      <c r="AM10" s="111"/>
      <c r="AN10" s="105"/>
      <c r="AO10" s="112" t="s">
        <v>163</v>
      </c>
      <c r="AP10" s="113" t="s">
        <v>164</v>
      </c>
      <c r="AQ10" s="112" t="s">
        <v>163</v>
      </c>
      <c r="AR10" s="113" t="s">
        <v>164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25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>
        <v>1</v>
      </c>
      <c r="B11" s="118">
        <v>42212</v>
      </c>
      <c r="C11" s="119">
        <v>0.43611111111111112</v>
      </c>
      <c r="D11" s="118">
        <v>42213</v>
      </c>
      <c r="E11" s="119">
        <v>0.42152777777777778</v>
      </c>
      <c r="F11" s="120">
        <v>20</v>
      </c>
      <c r="G11" s="121">
        <v>2803.6</v>
      </c>
      <c r="H11" s="122">
        <f t="shared" ref="H11:H17" si="0">G11*(20+273)/(F11+273)</f>
        <v>2803.6</v>
      </c>
      <c r="I11" s="123">
        <v>0.62835311936046612</v>
      </c>
      <c r="J11" s="120">
        <v>0</v>
      </c>
      <c r="K11" s="120">
        <v>0.49538899987931917</v>
      </c>
      <c r="L11" s="120">
        <v>0</v>
      </c>
      <c r="M11" s="120">
        <v>0.13601349995948211</v>
      </c>
      <c r="N11" s="120">
        <v>0</v>
      </c>
      <c r="O11" s="120">
        <v>8.0392664274771944E-2</v>
      </c>
      <c r="P11" s="120">
        <v>1.5E-3</v>
      </c>
      <c r="Q11" s="120">
        <v>0.1812862244980025</v>
      </c>
      <c r="R11" s="120">
        <v>1.5E-3</v>
      </c>
      <c r="S11" s="120">
        <v>6.6419421900187611E-2</v>
      </c>
      <c r="T11" s="120">
        <v>1.5E-3</v>
      </c>
      <c r="U11" s="120">
        <v>4.7230144067975221E-3</v>
      </c>
      <c r="V11" s="120">
        <v>1.5E-3</v>
      </c>
      <c r="W11" s="120">
        <v>3.0045259313096442E-2</v>
      </c>
      <c r="X11" s="120">
        <v>1.5E-3</v>
      </c>
      <c r="Y11" s="120">
        <v>0.22103602596920341</v>
      </c>
      <c r="Z11" s="120">
        <v>0</v>
      </c>
      <c r="AA11" s="120">
        <v>0.17112465367396726</v>
      </c>
      <c r="AB11" s="120">
        <v>0</v>
      </c>
      <c r="AC11" s="120">
        <v>6.6124306900257085E-2</v>
      </c>
      <c r="AD11" s="120">
        <v>1.46E-2</v>
      </c>
      <c r="AE11" s="120">
        <v>6.8560029390063134E-4</v>
      </c>
      <c r="AF11" s="120">
        <v>1.5E-3</v>
      </c>
      <c r="AG11" s="120">
        <v>3.7166337532652714E-2</v>
      </c>
      <c r="AH11" s="120">
        <v>2.29E-2</v>
      </c>
      <c r="AI11" s="120">
        <v>2.3366230920542706E-2</v>
      </c>
      <c r="AJ11" s="120">
        <v>2.4199999999999999E-2</v>
      </c>
      <c r="AK11" s="120">
        <v>0.20359979287064583</v>
      </c>
      <c r="AL11" s="124">
        <v>1.7399999999999999E-2</v>
      </c>
      <c r="AM11" s="125"/>
      <c r="AN11" s="126">
        <f t="shared" ref="AN11:AR38" si="1">A11</f>
        <v>1</v>
      </c>
      <c r="AO11" s="127">
        <f t="shared" si="1"/>
        <v>42212</v>
      </c>
      <c r="AP11" s="128">
        <f t="shared" si="1"/>
        <v>0.43611111111111112</v>
      </c>
      <c r="AQ11" s="127">
        <f t="shared" si="1"/>
        <v>42213</v>
      </c>
      <c r="AR11" s="128">
        <f t="shared" si="1"/>
        <v>0.42152777777777778</v>
      </c>
      <c r="AS11" s="129">
        <f t="shared" ref="AS11:AS38" si="2">1000/96.06*(Y11-Z11+AG11-AH11)*20/H11</f>
        <v>1.7474214059768556E-2</v>
      </c>
      <c r="AT11" s="130">
        <f t="shared" ref="AT11:AT38" si="3">1000/62.01*(AA11-AB11)*20/H11</f>
        <v>1.9686331556937251E-2</v>
      </c>
      <c r="AU11" s="130">
        <f t="shared" ref="AU11:AU17" si="4">1000/35.45*(AC11-AD11+AI11-AJ11)*20/H11</f>
        <v>1.0200573838230514E-2</v>
      </c>
      <c r="AV11" s="131">
        <f t="shared" ref="AV11:AV38" si="5">1000/18.04*(AE11-AF11+AK11-AL11)*20/H11</f>
        <v>7.3308262027277277E-2</v>
      </c>
      <c r="AW11" s="132">
        <f t="shared" ref="AW11:AW17" si="6">1000/96.06*(I11-J11)*20/H11</f>
        <v>4.6663266570807202E-2</v>
      </c>
      <c r="AX11" s="132">
        <f t="shared" ref="AX11:AX17" si="7">1000/62.01*(K11-L11)*20/H11</f>
        <v>5.6989988829221683E-2</v>
      </c>
      <c r="AY11" s="132">
        <f t="shared" ref="AY11:AY17" si="8">1000/35.45*(M11-N11)*20/H11</f>
        <v>2.7370310298099925E-2</v>
      </c>
      <c r="AZ11" s="133">
        <f t="shared" ref="AZ11:AZ17" si="9">1000/18.04*(O11-P11)*20/H11</f>
        <v>3.1197086275031545E-2</v>
      </c>
      <c r="BA11" s="133">
        <f t="shared" ref="BA11:BA17" si="10">1000/22.99*(Q11-R11)*20/H11</f>
        <v>5.5786791647550682E-2</v>
      </c>
      <c r="BB11" s="133">
        <f t="shared" ref="BB11:BB17" si="11">1000/39.1*(S11-T11)*20/H11</f>
        <v>1.184436632261765E-2</v>
      </c>
      <c r="BC11" s="133">
        <f t="shared" ref="BC11:BC17" si="12">1000/24.31*(U11-V11)*20/H11</f>
        <v>9.457824093936939E-4</v>
      </c>
      <c r="BD11" s="134">
        <f t="shared" ref="BD11:BD17" si="13">1000/40*(W11-X11)*20/H11</f>
        <v>5.0908223914068419E-3</v>
      </c>
      <c r="BF11" s="135">
        <f t="shared" ref="BF11:BF38" si="14">(I11-J11)/48.03*1000</f>
        <v>13.082513415791508</v>
      </c>
      <c r="BG11" s="136">
        <f t="shared" ref="BG11:BG38" si="15">(K11-L11)/62.01*1000</f>
        <v>7.988856634080296</v>
      </c>
      <c r="BH11" s="136">
        <f t="shared" ref="BH11:BH38" si="16">(M11-N11)/35.45*1000</f>
        <v>3.8367700975876473</v>
      </c>
      <c r="BI11" s="136">
        <f t="shared" ref="BI11:BI38" si="17">(O11-P11)/18.04*1000</f>
        <v>4.3732075540339217</v>
      </c>
      <c r="BJ11" s="136">
        <f t="shared" ref="BJ11:BJ38" si="18">(Q11-R11)/22.99*1000</f>
        <v>7.8201924531536537</v>
      </c>
      <c r="BK11" s="136">
        <f t="shared" ref="BK11:BK38" si="19">(S11-T11)/39.1*1000</f>
        <v>1.6603432711045423</v>
      </c>
      <c r="BL11" s="136">
        <f t="shared" ref="BL11:BL38" si="20">(U11-V11)/12.16*1000</f>
        <v>0.26505052687479619</v>
      </c>
      <c r="BM11" s="136">
        <f t="shared" ref="BM11:BM38" si="21">(W11-X11)/20.04*1000</f>
        <v>1.4244141373800618</v>
      </c>
      <c r="BN11" s="136">
        <f t="shared" ref="BN11:BN38" si="22">SUM(BF11:BH11)</f>
        <v>24.908140147459449</v>
      </c>
      <c r="BO11" s="136">
        <f t="shared" ref="BO11:BO38" si="23">SUM(BI11:BM11)</f>
        <v>15.543207942546976</v>
      </c>
      <c r="BP11" s="136">
        <f t="shared" ref="BP11:BP38" si="24">BN11+BO11</f>
        <v>40.451348090006427</v>
      </c>
      <c r="BQ11" s="136">
        <f t="shared" ref="BQ11:BQ38" si="25">(BO11-BN11)/BP11*100</f>
        <v>-23.151100388731159</v>
      </c>
      <c r="BR11" s="136">
        <f t="shared" ref="BR11:BR38" si="26">IF(BP11&lt;50,30,IF(BP11&lt;=100,15,8))</f>
        <v>30</v>
      </c>
      <c r="BS11" s="137" t="str">
        <f t="shared" ref="BS11:BS38" si="27">IF(ABS(BQ11)&lt;BR11,"○","×")</f>
        <v>○</v>
      </c>
    </row>
    <row r="12" spans="1:71" s="72" customFormat="1" ht="15" customHeight="1" x14ac:dyDescent="0.3">
      <c r="A12" s="117">
        <v>2</v>
      </c>
      <c r="B12" s="118">
        <v>42213</v>
      </c>
      <c r="C12" s="119">
        <v>0.42222222222222222</v>
      </c>
      <c r="D12" s="118">
        <v>42214</v>
      </c>
      <c r="E12" s="119">
        <v>0.41666666666666669</v>
      </c>
      <c r="F12" s="120">
        <v>20</v>
      </c>
      <c r="G12" s="121">
        <v>2863.9</v>
      </c>
      <c r="H12" s="122">
        <f t="shared" si="0"/>
        <v>2863.9</v>
      </c>
      <c r="I12" s="123">
        <v>2.4116723017563686</v>
      </c>
      <c r="J12" s="120">
        <v>0</v>
      </c>
      <c r="K12" s="120">
        <v>0.57470051410908063</v>
      </c>
      <c r="L12" s="120">
        <v>0</v>
      </c>
      <c r="M12" s="120">
        <v>2.620195269334823E-2</v>
      </c>
      <c r="N12" s="120">
        <v>0</v>
      </c>
      <c r="O12" s="120">
        <v>0.80035001996308452</v>
      </c>
      <c r="P12" s="120">
        <v>1.5E-3</v>
      </c>
      <c r="Q12" s="120">
        <v>0.14810400551357117</v>
      </c>
      <c r="R12" s="120">
        <v>1.5E-3</v>
      </c>
      <c r="S12" s="120">
        <v>0.14193391616007214</v>
      </c>
      <c r="T12" s="120">
        <v>1.5E-3</v>
      </c>
      <c r="U12" s="120">
        <v>6.3241240135886514E-3</v>
      </c>
      <c r="V12" s="120">
        <v>1.5E-3</v>
      </c>
      <c r="W12" s="120">
        <v>5.9264831307882217E-2</v>
      </c>
      <c r="X12" s="120">
        <v>1.5E-3</v>
      </c>
      <c r="Y12" s="120">
        <v>0.34751409344490947</v>
      </c>
      <c r="Z12" s="120">
        <v>0</v>
      </c>
      <c r="AA12" s="120">
        <v>0.51856850941091415</v>
      </c>
      <c r="AB12" s="120">
        <v>0</v>
      </c>
      <c r="AC12" s="120">
        <v>0.19152193594208783</v>
      </c>
      <c r="AD12" s="120">
        <v>1.46E-2</v>
      </c>
      <c r="AE12" s="120">
        <v>1.0051314683336452E-2</v>
      </c>
      <c r="AF12" s="120">
        <v>1.5E-3</v>
      </c>
      <c r="AG12" s="120">
        <v>0.17170793992205227</v>
      </c>
      <c r="AH12" s="120">
        <v>2.29E-2</v>
      </c>
      <c r="AI12" s="120">
        <v>0.14260306289931671</v>
      </c>
      <c r="AJ12" s="120">
        <v>2.4199999999999999E-2</v>
      </c>
      <c r="AK12" s="120">
        <v>0.22343527161472096</v>
      </c>
      <c r="AL12" s="124">
        <v>1.7399999999999999E-2</v>
      </c>
      <c r="AM12" s="138"/>
      <c r="AN12" s="126">
        <f t="shared" si="1"/>
        <v>2</v>
      </c>
      <c r="AO12" s="127">
        <f t="shared" si="1"/>
        <v>42213</v>
      </c>
      <c r="AP12" s="128">
        <f t="shared" si="1"/>
        <v>0.42222222222222222</v>
      </c>
      <c r="AQ12" s="127">
        <f t="shared" si="1"/>
        <v>42214</v>
      </c>
      <c r="AR12" s="128">
        <f t="shared" si="1"/>
        <v>0.41666666666666669</v>
      </c>
      <c r="AS12" s="129">
        <f t="shared" si="2"/>
        <v>3.6082209127035754E-2</v>
      </c>
      <c r="AT12" s="132">
        <f t="shared" si="3"/>
        <v>5.840049862266674E-2</v>
      </c>
      <c r="AU12" s="130">
        <f t="shared" si="4"/>
        <v>5.8177642369163118E-2</v>
      </c>
      <c r="AV12" s="131">
        <f t="shared" si="5"/>
        <v>8.3068847280748759E-2</v>
      </c>
      <c r="AW12" s="132">
        <f t="shared" si="6"/>
        <v>0.17532661958917067</v>
      </c>
      <c r="AX12" s="132">
        <f t="shared" si="7"/>
        <v>6.4722010638093047E-2</v>
      </c>
      <c r="AY12" s="132">
        <f t="shared" si="8"/>
        <v>5.1616620304668487E-3</v>
      </c>
      <c r="AZ12" s="133">
        <f t="shared" si="9"/>
        <v>0.30924370182376731</v>
      </c>
      <c r="BA12" s="133">
        <f t="shared" si="10"/>
        <v>4.4532698376039584E-2</v>
      </c>
      <c r="BB12" s="133">
        <f t="shared" si="11"/>
        <v>2.5082302174296533E-2</v>
      </c>
      <c r="BC12" s="133">
        <f t="shared" si="12"/>
        <v>1.3858162547640057E-3</v>
      </c>
      <c r="BD12" s="134">
        <f t="shared" si="13"/>
        <v>1.0084994466965015E-2</v>
      </c>
      <c r="BF12" s="139">
        <f t="shared" si="14"/>
        <v>50.211790584142591</v>
      </c>
      <c r="BG12" s="140">
        <f t="shared" si="15"/>
        <v>9.267868313321733</v>
      </c>
      <c r="BH12" s="140">
        <f t="shared" si="16"/>
        <v>0.73912419445270028</v>
      </c>
      <c r="BI12" s="140">
        <f t="shared" si="17"/>
        <v>44.282151882654361</v>
      </c>
      <c r="BJ12" s="140">
        <f t="shared" si="18"/>
        <v>6.376859743956989</v>
      </c>
      <c r="BK12" s="140">
        <f t="shared" si="19"/>
        <v>3.5916602598483922</v>
      </c>
      <c r="BL12" s="140">
        <f t="shared" si="20"/>
        <v>0.39672072480169834</v>
      </c>
      <c r="BM12" s="140">
        <f t="shared" si="21"/>
        <v>2.8824766121697714</v>
      </c>
      <c r="BN12" s="140">
        <f t="shared" si="22"/>
        <v>60.218783091917025</v>
      </c>
      <c r="BO12" s="140">
        <f t="shared" si="23"/>
        <v>57.529869223431206</v>
      </c>
      <c r="BP12" s="140">
        <f t="shared" si="24"/>
        <v>117.74865231534824</v>
      </c>
      <c r="BQ12" s="140">
        <f t="shared" si="25"/>
        <v>-2.2836047934412975</v>
      </c>
      <c r="BR12" s="140">
        <f t="shared" si="26"/>
        <v>8</v>
      </c>
      <c r="BS12" s="141" t="str">
        <f t="shared" si="27"/>
        <v>○</v>
      </c>
    </row>
    <row r="13" spans="1:71" s="72" customFormat="1" ht="15" customHeight="1" x14ac:dyDescent="0.3">
      <c r="A13" s="117">
        <v>3</v>
      </c>
      <c r="B13" s="118">
        <v>42214</v>
      </c>
      <c r="C13" s="119">
        <v>0.41875000000000001</v>
      </c>
      <c r="D13" s="118">
        <v>42215</v>
      </c>
      <c r="E13" s="119">
        <v>0.41666666666666669</v>
      </c>
      <c r="F13" s="120">
        <v>20</v>
      </c>
      <c r="G13" s="121">
        <v>2874.4</v>
      </c>
      <c r="H13" s="122">
        <f t="shared" si="0"/>
        <v>2874.4</v>
      </c>
      <c r="I13" s="123">
        <v>1.8212714908561161</v>
      </c>
      <c r="J13" s="120">
        <v>0</v>
      </c>
      <c r="K13" s="120">
        <v>0.59148746287455667</v>
      </c>
      <c r="L13" s="120">
        <v>0</v>
      </c>
      <c r="M13" s="120">
        <v>0</v>
      </c>
      <c r="N13" s="120">
        <v>0</v>
      </c>
      <c r="O13" s="120">
        <v>0.50397084579231188</v>
      </c>
      <c r="P13" s="120">
        <v>1.5E-3</v>
      </c>
      <c r="Q13" s="120">
        <v>0.14550806230551575</v>
      </c>
      <c r="R13" s="120">
        <v>1.5E-3</v>
      </c>
      <c r="S13" s="120">
        <v>0.13803026481332736</v>
      </c>
      <c r="T13" s="120">
        <v>1.5E-3</v>
      </c>
      <c r="U13" s="120">
        <v>6.961460657469388E-3</v>
      </c>
      <c r="V13" s="120">
        <v>1.5E-3</v>
      </c>
      <c r="W13" s="120">
        <v>6.1810875970302624E-2</v>
      </c>
      <c r="X13" s="120">
        <v>1.5E-3</v>
      </c>
      <c r="Y13" s="120">
        <v>0.4103334339690165</v>
      </c>
      <c r="Z13" s="120">
        <v>0</v>
      </c>
      <c r="AA13" s="120">
        <v>0.65197910116925695</v>
      </c>
      <c r="AB13" s="120">
        <v>0</v>
      </c>
      <c r="AC13" s="120">
        <v>0.19983437556661118</v>
      </c>
      <c r="AD13" s="120">
        <v>1.46E-2</v>
      </c>
      <c r="AE13" s="120">
        <v>1.9101208759186392E-2</v>
      </c>
      <c r="AF13" s="120">
        <v>1.5E-3</v>
      </c>
      <c r="AG13" s="120">
        <v>0.21456268595284805</v>
      </c>
      <c r="AH13" s="120">
        <v>2.29E-2</v>
      </c>
      <c r="AI13" s="120">
        <v>3.7169665203084255E-2</v>
      </c>
      <c r="AJ13" s="120">
        <v>2.4199999999999999E-2</v>
      </c>
      <c r="AK13" s="120">
        <v>0.42832720599873852</v>
      </c>
      <c r="AL13" s="124">
        <v>1.7399999999999999E-2</v>
      </c>
      <c r="AM13" s="78"/>
      <c r="AN13" s="126">
        <f t="shared" si="1"/>
        <v>3</v>
      </c>
      <c r="AO13" s="127">
        <f t="shared" si="1"/>
        <v>42214</v>
      </c>
      <c r="AP13" s="128">
        <f t="shared" si="1"/>
        <v>0.41875000000000001</v>
      </c>
      <c r="AQ13" s="127">
        <f t="shared" si="1"/>
        <v>42215</v>
      </c>
      <c r="AR13" s="128">
        <f t="shared" si="1"/>
        <v>0.41666666666666669</v>
      </c>
      <c r="AS13" s="129">
        <f t="shared" si="2"/>
        <v>4.3604760077086212E-2</v>
      </c>
      <c r="AT13" s="132">
        <f t="shared" si="3"/>
        <v>7.3156805819552015E-2</v>
      </c>
      <c r="AU13" s="130">
        <f t="shared" si="4"/>
        <v>3.8902638371370014E-2</v>
      </c>
      <c r="AV13" s="131">
        <f t="shared" si="5"/>
        <v>0.16528212298964115</v>
      </c>
      <c r="AW13" s="132">
        <f t="shared" si="6"/>
        <v>0.13192129278893991</v>
      </c>
      <c r="AX13" s="132">
        <f t="shared" si="7"/>
        <v>6.6369203228463583E-2</v>
      </c>
      <c r="AY13" s="132">
        <f t="shared" si="8"/>
        <v>0</v>
      </c>
      <c r="AZ13" s="133">
        <f t="shared" si="9"/>
        <v>0.19380149664023663</v>
      </c>
      <c r="BA13" s="133">
        <f t="shared" si="10"/>
        <v>4.358435537127002E-2</v>
      </c>
      <c r="BB13" s="133">
        <f t="shared" si="11"/>
        <v>2.4296010503039683E-2</v>
      </c>
      <c r="BC13" s="133">
        <f t="shared" si="12"/>
        <v>1.5631715496519374E-3</v>
      </c>
      <c r="BD13" s="134">
        <f t="shared" si="13"/>
        <v>1.0491037428733408E-2</v>
      </c>
      <c r="BF13" s="139">
        <f t="shared" si="14"/>
        <v>37.919456399252887</v>
      </c>
      <c r="BG13" s="140">
        <f t="shared" si="15"/>
        <v>9.5385818879947859</v>
      </c>
      <c r="BH13" s="140">
        <f t="shared" si="16"/>
        <v>0</v>
      </c>
      <c r="BI13" s="140">
        <f t="shared" si="17"/>
        <v>27.853151097134809</v>
      </c>
      <c r="BJ13" s="140">
        <f t="shared" si="18"/>
        <v>6.2639435539589279</v>
      </c>
      <c r="BK13" s="140">
        <f t="shared" si="19"/>
        <v>3.4918226294968635</v>
      </c>
      <c r="BL13" s="140">
        <f t="shared" si="20"/>
        <v>0.44913327775241674</v>
      </c>
      <c r="BM13" s="140">
        <f t="shared" si="21"/>
        <v>3.0095247490170971</v>
      </c>
      <c r="BN13" s="140">
        <f t="shared" si="22"/>
        <v>47.458038287247675</v>
      </c>
      <c r="BO13" s="140">
        <f t="shared" si="23"/>
        <v>41.067575307360116</v>
      </c>
      <c r="BP13" s="140">
        <f t="shared" si="24"/>
        <v>88.52561359460779</v>
      </c>
      <c r="BQ13" s="140">
        <f t="shared" si="25"/>
        <v>-7.2187728730714049</v>
      </c>
      <c r="BR13" s="140">
        <f t="shared" si="26"/>
        <v>15</v>
      </c>
      <c r="BS13" s="141" t="str">
        <f t="shared" si="27"/>
        <v>○</v>
      </c>
    </row>
    <row r="14" spans="1:71" s="72" customFormat="1" ht="15" customHeight="1" x14ac:dyDescent="0.3">
      <c r="A14" s="117">
        <v>4</v>
      </c>
      <c r="B14" s="118">
        <v>42215</v>
      </c>
      <c r="C14" s="119">
        <v>0.41805555555555557</v>
      </c>
      <c r="D14" s="118">
        <v>42216</v>
      </c>
      <c r="E14" s="119">
        <v>0.44444444444444442</v>
      </c>
      <c r="F14" s="120">
        <v>20</v>
      </c>
      <c r="G14" s="121">
        <v>2960</v>
      </c>
      <c r="H14" s="122">
        <f t="shared" si="0"/>
        <v>2960</v>
      </c>
      <c r="I14" s="123">
        <v>2.12991149720887</v>
      </c>
      <c r="J14" s="120">
        <v>0</v>
      </c>
      <c r="K14" s="120">
        <v>0.62729139388924948</v>
      </c>
      <c r="L14" s="120">
        <v>0</v>
      </c>
      <c r="M14" s="120">
        <v>3.1995423866939779E-2</v>
      </c>
      <c r="N14" s="120">
        <v>0</v>
      </c>
      <c r="O14" s="120">
        <v>0.66113125096726966</v>
      </c>
      <c r="P14" s="120">
        <v>1.5E-3</v>
      </c>
      <c r="Q14" s="120">
        <v>0.10976246262080426</v>
      </c>
      <c r="R14" s="120">
        <v>1.5E-3</v>
      </c>
      <c r="S14" s="120">
        <v>0.13674088145319513</v>
      </c>
      <c r="T14" s="120">
        <v>1.5E-3</v>
      </c>
      <c r="U14" s="120">
        <v>9.3930873421433272E-3</v>
      </c>
      <c r="V14" s="120">
        <v>1.5E-3</v>
      </c>
      <c r="W14" s="120">
        <v>8.5607902472988509E-2</v>
      </c>
      <c r="X14" s="120">
        <v>1.5E-3</v>
      </c>
      <c r="Y14" s="120">
        <v>0.34812425208389702</v>
      </c>
      <c r="Z14" s="120">
        <v>0</v>
      </c>
      <c r="AA14" s="120">
        <v>0.92744953471119285</v>
      </c>
      <c r="AB14" s="120">
        <v>0</v>
      </c>
      <c r="AC14" s="120">
        <v>0.21733205777993289</v>
      </c>
      <c r="AD14" s="120">
        <v>1.46E-2</v>
      </c>
      <c r="AE14" s="120">
        <v>5.6852653763805175E-2</v>
      </c>
      <c r="AF14" s="120">
        <v>1.5E-3</v>
      </c>
      <c r="AG14" s="120">
        <v>0.15823732152338027</v>
      </c>
      <c r="AH14" s="120">
        <v>2.29E-2</v>
      </c>
      <c r="AI14" s="120">
        <v>4.4415819174962991E-2</v>
      </c>
      <c r="AJ14" s="120">
        <v>2.4199999999999999E-2</v>
      </c>
      <c r="AK14" s="120">
        <v>0.18212628176733459</v>
      </c>
      <c r="AL14" s="124">
        <v>1.7399999999999999E-2</v>
      </c>
      <c r="AM14" s="78"/>
      <c r="AN14" s="126">
        <f t="shared" si="1"/>
        <v>4</v>
      </c>
      <c r="AO14" s="127">
        <f t="shared" si="1"/>
        <v>42215</v>
      </c>
      <c r="AP14" s="128">
        <f t="shared" si="1"/>
        <v>0.41805555555555557</v>
      </c>
      <c r="AQ14" s="127">
        <f t="shared" si="1"/>
        <v>42216</v>
      </c>
      <c r="AR14" s="128">
        <f t="shared" si="1"/>
        <v>0.44444444444444442</v>
      </c>
      <c r="AS14" s="129">
        <f t="shared" si="2"/>
        <v>3.4006165460162663E-2</v>
      </c>
      <c r="AT14" s="130">
        <f t="shared" si="3"/>
        <v>0.10105710224497279</v>
      </c>
      <c r="AU14" s="122">
        <f t="shared" si="4"/>
        <v>4.2493782059790312E-2</v>
      </c>
      <c r="AV14" s="131">
        <f t="shared" si="5"/>
        <v>8.2429037398551189E-2</v>
      </c>
      <c r="AW14" s="132">
        <f t="shared" si="6"/>
        <v>0.14981567666104445</v>
      </c>
      <c r="AX14" s="132">
        <f t="shared" si="7"/>
        <v>6.8351158911732796E-2</v>
      </c>
      <c r="AY14" s="132">
        <f t="shared" si="8"/>
        <v>6.0983158363396824E-3</v>
      </c>
      <c r="AZ14" s="133">
        <f t="shared" si="9"/>
        <v>0.24706030553996741</v>
      </c>
      <c r="BA14" s="133">
        <f t="shared" si="10"/>
        <v>3.1818317782350808E-2</v>
      </c>
      <c r="BB14" s="133">
        <f t="shared" si="11"/>
        <v>2.3370581574133395E-2</v>
      </c>
      <c r="BC14" s="133">
        <f t="shared" si="12"/>
        <v>2.1938161756766008E-3</v>
      </c>
      <c r="BD14" s="134">
        <f t="shared" si="13"/>
        <v>1.4207415958275084E-2</v>
      </c>
      <c r="BF14" s="139">
        <f t="shared" si="14"/>
        <v>44.345440291669163</v>
      </c>
      <c r="BG14" s="140">
        <f t="shared" si="15"/>
        <v>10.115971518936455</v>
      </c>
      <c r="BH14" s="140">
        <f t="shared" si="16"/>
        <v>0.90255074377827293</v>
      </c>
      <c r="BI14" s="140">
        <f t="shared" si="17"/>
        <v>36.564925219915175</v>
      </c>
      <c r="BJ14" s="140">
        <f t="shared" si="18"/>
        <v>4.7091110317879199</v>
      </c>
      <c r="BK14" s="140">
        <f t="shared" si="19"/>
        <v>3.4588460729717423</v>
      </c>
      <c r="BL14" s="140">
        <f t="shared" si="20"/>
        <v>0.64910257747889211</v>
      </c>
      <c r="BM14" s="140">
        <f t="shared" si="21"/>
        <v>4.197001121406613</v>
      </c>
      <c r="BN14" s="140">
        <f t="shared" si="22"/>
        <v>55.363962554383889</v>
      </c>
      <c r="BO14" s="140">
        <f t="shared" si="23"/>
        <v>49.578986023560347</v>
      </c>
      <c r="BP14" s="140">
        <f t="shared" si="24"/>
        <v>104.94294857794424</v>
      </c>
      <c r="BQ14" s="140">
        <f t="shared" si="25"/>
        <v>-5.5124966557680324</v>
      </c>
      <c r="BR14" s="140">
        <f t="shared" si="26"/>
        <v>8</v>
      </c>
      <c r="BS14" s="141" t="str">
        <f t="shared" si="27"/>
        <v>○</v>
      </c>
    </row>
    <row r="15" spans="1:71" s="72" customFormat="1" ht="15" customHeight="1" x14ac:dyDescent="0.3">
      <c r="A15" s="117">
        <v>5</v>
      </c>
      <c r="B15" s="118">
        <v>42216</v>
      </c>
      <c r="C15" s="119">
        <v>0.4458333333333333</v>
      </c>
      <c r="D15" s="118">
        <v>42217</v>
      </c>
      <c r="E15" s="119">
        <v>0.41666666666666669</v>
      </c>
      <c r="F15" s="120">
        <v>20</v>
      </c>
      <c r="G15" s="121">
        <v>2792.9</v>
      </c>
      <c r="H15" s="122">
        <f t="shared" si="0"/>
        <v>2792.9</v>
      </c>
      <c r="I15" s="123">
        <v>3.446754893305958</v>
      </c>
      <c r="J15" s="120">
        <v>0</v>
      </c>
      <c r="K15" s="120">
        <v>0.73167527720643433</v>
      </c>
      <c r="L15" s="120">
        <v>0</v>
      </c>
      <c r="M15" s="120">
        <v>2.7101746634708591E-2</v>
      </c>
      <c r="N15" s="120">
        <v>0</v>
      </c>
      <c r="O15" s="120">
        <v>1.4108436370926658</v>
      </c>
      <c r="P15" s="120">
        <v>1.5E-3</v>
      </c>
      <c r="Q15" s="120">
        <v>0.11946773941810643</v>
      </c>
      <c r="R15" s="120">
        <v>1.5E-3</v>
      </c>
      <c r="S15" s="120">
        <v>0.11888793589291594</v>
      </c>
      <c r="T15" s="120">
        <v>1.5E-3</v>
      </c>
      <c r="U15" s="120">
        <v>7.5045167327287146E-3</v>
      </c>
      <c r="V15" s="120">
        <v>1.5E-3</v>
      </c>
      <c r="W15" s="120">
        <v>9.5397312661626946E-2</v>
      </c>
      <c r="X15" s="120">
        <v>1.5E-3</v>
      </c>
      <c r="Y15" s="120">
        <v>0.3017788145407414</v>
      </c>
      <c r="Z15" s="120">
        <v>0</v>
      </c>
      <c r="AA15" s="120">
        <v>1.543549329920364</v>
      </c>
      <c r="AB15" s="120">
        <v>0</v>
      </c>
      <c r="AC15" s="120">
        <v>0.2844730899268838</v>
      </c>
      <c r="AD15" s="120">
        <v>1.46E-2</v>
      </c>
      <c r="AE15" s="120">
        <v>0.24796491077147972</v>
      </c>
      <c r="AF15" s="120">
        <v>1.5E-3</v>
      </c>
      <c r="AG15" s="120">
        <v>0.21433857915674329</v>
      </c>
      <c r="AH15" s="120">
        <v>2.29E-2</v>
      </c>
      <c r="AI15" s="120">
        <v>5.3043769115836401E-2</v>
      </c>
      <c r="AJ15" s="120">
        <v>2.4199999999999999E-2</v>
      </c>
      <c r="AK15" s="120">
        <v>0.11184306023348976</v>
      </c>
      <c r="AL15" s="124">
        <v>1.7399999999999999E-2</v>
      </c>
      <c r="AM15" s="78"/>
      <c r="AN15" s="126">
        <f t="shared" si="1"/>
        <v>5</v>
      </c>
      <c r="AO15" s="127">
        <f t="shared" si="1"/>
        <v>42216</v>
      </c>
      <c r="AP15" s="128">
        <f t="shared" si="1"/>
        <v>0.4458333333333333</v>
      </c>
      <c r="AQ15" s="127">
        <f t="shared" si="1"/>
        <v>42217</v>
      </c>
      <c r="AR15" s="128">
        <f t="shared" si="1"/>
        <v>0.41666666666666669</v>
      </c>
      <c r="AS15" s="129">
        <f t="shared" si="2"/>
        <v>3.6768034224367217E-2</v>
      </c>
      <c r="AT15" s="130">
        <f t="shared" si="3"/>
        <v>0.1782515815448292</v>
      </c>
      <c r="AU15" s="130">
        <f t="shared" si="4"/>
        <v>6.034177820592327E-2</v>
      </c>
      <c r="AV15" s="131">
        <f t="shared" si="5"/>
        <v>0.1353241264553432</v>
      </c>
      <c r="AW15" s="132">
        <f t="shared" si="6"/>
        <v>0.25694633542832601</v>
      </c>
      <c r="AX15" s="132">
        <f t="shared" si="7"/>
        <v>8.4495048399928413E-2</v>
      </c>
      <c r="AY15" s="132">
        <f t="shared" si="8"/>
        <v>5.4746410686878424E-3</v>
      </c>
      <c r="AZ15" s="133">
        <f t="shared" si="9"/>
        <v>0.5594418810529399</v>
      </c>
      <c r="BA15" s="133">
        <f t="shared" si="10"/>
        <v>3.6745054478026506E-2</v>
      </c>
      <c r="BB15" s="133">
        <f t="shared" si="11"/>
        <v>2.1499151418373889E-2</v>
      </c>
      <c r="BC15" s="133">
        <f t="shared" si="12"/>
        <v>1.7687551207199519E-3</v>
      </c>
      <c r="BD15" s="134">
        <f t="shared" si="13"/>
        <v>1.6810002624803422E-2</v>
      </c>
      <c r="BF15" s="139">
        <f t="shared" si="14"/>
        <v>71.762542021777179</v>
      </c>
      <c r="BG15" s="140">
        <f t="shared" si="15"/>
        <v>11.799311033808005</v>
      </c>
      <c r="BH15" s="140">
        <f t="shared" si="16"/>
        <v>0.76450625203691369</v>
      </c>
      <c r="BI15" s="140">
        <f t="shared" si="17"/>
        <v>78.123261479637804</v>
      </c>
      <c r="BJ15" s="140">
        <f t="shared" si="18"/>
        <v>5.1312631325840119</v>
      </c>
      <c r="BK15" s="140">
        <f t="shared" si="19"/>
        <v>3.0022489998188218</v>
      </c>
      <c r="BL15" s="140">
        <f t="shared" si="20"/>
        <v>0.49379249446782186</v>
      </c>
      <c r="BM15" s="140">
        <f t="shared" si="21"/>
        <v>4.6854946437937599</v>
      </c>
      <c r="BN15" s="140">
        <f t="shared" si="22"/>
        <v>84.326359307622099</v>
      </c>
      <c r="BO15" s="140">
        <f t="shared" si="23"/>
        <v>91.436060750302218</v>
      </c>
      <c r="BP15" s="140">
        <f t="shared" si="24"/>
        <v>175.76242005792432</v>
      </c>
      <c r="BQ15" s="140">
        <f t="shared" si="25"/>
        <v>4.0450634671148951</v>
      </c>
      <c r="BR15" s="140">
        <f t="shared" si="26"/>
        <v>8</v>
      </c>
      <c r="BS15" s="141" t="str">
        <f t="shared" si="27"/>
        <v>○</v>
      </c>
    </row>
    <row r="16" spans="1:71" s="72" customFormat="1" ht="15" customHeight="1" x14ac:dyDescent="0.3">
      <c r="A16" s="117">
        <v>6</v>
      </c>
      <c r="B16" s="118">
        <v>42217</v>
      </c>
      <c r="C16" s="119">
        <v>0.41805555555555557</v>
      </c>
      <c r="D16" s="118">
        <v>42218</v>
      </c>
      <c r="E16" s="119">
        <v>0.41666666666666669</v>
      </c>
      <c r="F16" s="120">
        <v>20</v>
      </c>
      <c r="G16" s="121">
        <v>2877.3</v>
      </c>
      <c r="H16" s="122">
        <f t="shared" si="0"/>
        <v>2877.3</v>
      </c>
      <c r="I16" s="123">
        <v>1.4195046405739953</v>
      </c>
      <c r="J16" s="120">
        <v>0</v>
      </c>
      <c r="K16" s="120">
        <v>0.20203463757193665</v>
      </c>
      <c r="L16" s="120">
        <v>0</v>
      </c>
      <c r="M16" s="120">
        <v>2.0847475556272126E-2</v>
      </c>
      <c r="N16" s="120">
        <v>0</v>
      </c>
      <c r="O16" s="120">
        <v>0.29869846394735505</v>
      </c>
      <c r="P16" s="120">
        <v>1.5E-3</v>
      </c>
      <c r="Q16" s="120">
        <v>5.4705366522536172E-2</v>
      </c>
      <c r="R16" s="120">
        <v>1.5E-3</v>
      </c>
      <c r="S16" s="120">
        <v>0.10048833579777501</v>
      </c>
      <c r="T16" s="120">
        <v>1.5E-3</v>
      </c>
      <c r="U16" s="120">
        <v>1.6772558268068906E-3</v>
      </c>
      <c r="V16" s="120">
        <v>1.5E-3</v>
      </c>
      <c r="W16" s="120">
        <v>2.7984672786782329E-2</v>
      </c>
      <c r="X16" s="120">
        <v>1.5E-3</v>
      </c>
      <c r="Y16" s="120">
        <v>0.26311395294499434</v>
      </c>
      <c r="Z16" s="120">
        <v>0</v>
      </c>
      <c r="AA16" s="120">
        <v>1.0538229352101687</v>
      </c>
      <c r="AB16" s="120">
        <v>0</v>
      </c>
      <c r="AC16" s="120">
        <v>0.24119140674893583</v>
      </c>
      <c r="AD16" s="120">
        <v>1.46E-2</v>
      </c>
      <c r="AE16" s="120">
        <v>0.10644251064739223</v>
      </c>
      <c r="AF16" s="120">
        <v>1.5E-3</v>
      </c>
      <c r="AG16" s="120">
        <v>0.17256405830490959</v>
      </c>
      <c r="AH16" s="120">
        <v>2.29E-2</v>
      </c>
      <c r="AI16" s="120">
        <v>3.8725766060940484E-2</v>
      </c>
      <c r="AJ16" s="120">
        <v>2.4199999999999999E-2</v>
      </c>
      <c r="AK16" s="120">
        <v>0.24115544638659298</v>
      </c>
      <c r="AL16" s="124">
        <v>1.7399999999999999E-2</v>
      </c>
      <c r="AM16" s="78"/>
      <c r="AN16" s="126">
        <f t="shared" si="1"/>
        <v>6</v>
      </c>
      <c r="AO16" s="127">
        <f t="shared" si="1"/>
        <v>42217</v>
      </c>
      <c r="AP16" s="128">
        <f t="shared" si="1"/>
        <v>0.41805555555555557</v>
      </c>
      <c r="AQ16" s="127">
        <f t="shared" si="1"/>
        <v>42218</v>
      </c>
      <c r="AR16" s="128">
        <f t="shared" si="1"/>
        <v>0.41666666666666669</v>
      </c>
      <c r="AS16" s="129">
        <f t="shared" si="2"/>
        <v>2.986887201351748E-2</v>
      </c>
      <c r="AT16" s="132">
        <f t="shared" si="3"/>
        <v>0.11812743254813633</v>
      </c>
      <c r="AU16" s="130">
        <f t="shared" si="4"/>
        <v>4.7277744921962975E-2</v>
      </c>
      <c r="AV16" s="131">
        <f t="shared" si="5"/>
        <v>0.12665003716066392</v>
      </c>
      <c r="AW16" s="132">
        <f t="shared" si="6"/>
        <v>0.10271623312373973</v>
      </c>
      <c r="AX16" s="132">
        <f t="shared" si="7"/>
        <v>2.2646909860057698E-2</v>
      </c>
      <c r="AY16" s="132">
        <f t="shared" si="8"/>
        <v>4.0877288835559876E-3</v>
      </c>
      <c r="AZ16" s="133">
        <f t="shared" si="9"/>
        <v>0.11451302235849616</v>
      </c>
      <c r="BA16" s="133">
        <f t="shared" si="10"/>
        <v>1.6086490913942424E-2</v>
      </c>
      <c r="BB16" s="133">
        <f t="shared" si="11"/>
        <v>1.7597546257049734E-2</v>
      </c>
      <c r="BC16" s="133">
        <f t="shared" si="12"/>
        <v>5.0682778029722408E-5</v>
      </c>
      <c r="BD16" s="134">
        <f t="shared" si="13"/>
        <v>4.6023481713381165E-3</v>
      </c>
      <c r="BF16" s="139">
        <f t="shared" si="14"/>
        <v>29.554541756693634</v>
      </c>
      <c r="BG16" s="140">
        <f t="shared" si="15"/>
        <v>3.2580976870172016</v>
      </c>
      <c r="BH16" s="140">
        <f t="shared" si="16"/>
        <v>0.58808111583278211</v>
      </c>
      <c r="BI16" s="140">
        <f t="shared" si="17"/>
        <v>16.474415961605047</v>
      </c>
      <c r="BJ16" s="140">
        <f t="shared" si="18"/>
        <v>2.3142830153343268</v>
      </c>
      <c r="BK16" s="140">
        <f t="shared" si="19"/>
        <v>2.5316709922704606</v>
      </c>
      <c r="BL16" s="140">
        <f t="shared" si="20"/>
        <v>1.4576959441356134E-2</v>
      </c>
      <c r="BM16" s="140">
        <f t="shared" si="21"/>
        <v>1.3215904584222717</v>
      </c>
      <c r="BN16" s="140">
        <f t="shared" si="22"/>
        <v>33.400720559543615</v>
      </c>
      <c r="BO16" s="140">
        <f t="shared" si="23"/>
        <v>22.65653738707346</v>
      </c>
      <c r="BP16" s="140">
        <f t="shared" si="24"/>
        <v>56.057257946617071</v>
      </c>
      <c r="BQ16" s="140">
        <f t="shared" si="25"/>
        <v>-19.16644439280595</v>
      </c>
      <c r="BR16" s="140">
        <f t="shared" si="26"/>
        <v>15</v>
      </c>
      <c r="BS16" s="141" t="str">
        <f t="shared" si="27"/>
        <v>×</v>
      </c>
    </row>
    <row r="17" spans="1:72" s="77" customFormat="1" ht="15" customHeight="1" x14ac:dyDescent="0.3">
      <c r="A17" s="142">
        <v>7</v>
      </c>
      <c r="B17" s="143">
        <v>42218</v>
      </c>
      <c r="C17" s="144">
        <v>0.41805555555555557</v>
      </c>
      <c r="D17" s="145">
        <v>42219</v>
      </c>
      <c r="E17" s="144">
        <v>0.41666666666666669</v>
      </c>
      <c r="F17" s="146">
        <v>20</v>
      </c>
      <c r="G17" s="147">
        <v>2877</v>
      </c>
      <c r="H17" s="148">
        <f t="shared" si="0"/>
        <v>2877</v>
      </c>
      <c r="I17" s="149">
        <v>0.36469471872846421</v>
      </c>
      <c r="J17" s="146">
        <v>0</v>
      </c>
      <c r="K17" s="146">
        <v>0.10218679517381464</v>
      </c>
      <c r="L17" s="146">
        <v>0</v>
      </c>
      <c r="M17" s="146">
        <v>2.8158620959816853E-2</v>
      </c>
      <c r="N17" s="146">
        <v>0</v>
      </c>
      <c r="O17" s="146">
        <v>2.0169766321809127E-2</v>
      </c>
      <c r="P17" s="146">
        <v>1.5E-3</v>
      </c>
      <c r="Q17" s="146">
        <v>3.028005418301645E-2</v>
      </c>
      <c r="R17" s="146">
        <v>1.5E-3</v>
      </c>
      <c r="S17" s="146">
        <v>1.4399965395459853E-2</v>
      </c>
      <c r="T17" s="146">
        <v>1.5E-3</v>
      </c>
      <c r="U17" s="146">
        <v>1.5513980342452944E-3</v>
      </c>
      <c r="V17" s="146">
        <v>1.5E-3</v>
      </c>
      <c r="W17" s="146">
        <v>1.5724209444126905E-2</v>
      </c>
      <c r="X17" s="146">
        <v>1.5E-3</v>
      </c>
      <c r="Y17" s="146">
        <v>0.88590182113938487</v>
      </c>
      <c r="Z17" s="146">
        <v>0</v>
      </c>
      <c r="AA17" s="146">
        <v>0.1375952157134544</v>
      </c>
      <c r="AB17" s="146">
        <v>0</v>
      </c>
      <c r="AC17" s="146">
        <v>9.1748919042305796E-2</v>
      </c>
      <c r="AD17" s="146">
        <v>1.46E-2</v>
      </c>
      <c r="AE17" s="146">
        <v>1.0928129273129947E-2</v>
      </c>
      <c r="AF17" s="146">
        <v>1.5E-3</v>
      </c>
      <c r="AG17" s="146">
        <v>0.53914038681999066</v>
      </c>
      <c r="AH17" s="146">
        <v>2.29E-2</v>
      </c>
      <c r="AI17" s="146">
        <v>4.0351635043117944E-2</v>
      </c>
      <c r="AJ17" s="146">
        <v>2.4199999999999999E-2</v>
      </c>
      <c r="AK17" s="146">
        <v>0.28701108843916057</v>
      </c>
      <c r="AL17" s="150">
        <v>1.7399999999999999E-2</v>
      </c>
      <c r="AN17" s="151">
        <f t="shared" si="1"/>
        <v>7</v>
      </c>
      <c r="AO17" s="152">
        <f t="shared" si="1"/>
        <v>42218</v>
      </c>
      <c r="AP17" s="153">
        <f t="shared" si="1"/>
        <v>0.41805555555555557</v>
      </c>
      <c r="AQ17" s="152">
        <f t="shared" si="1"/>
        <v>42219</v>
      </c>
      <c r="AR17" s="153">
        <f t="shared" si="1"/>
        <v>0.41666666666666669</v>
      </c>
      <c r="AS17" s="154">
        <f t="shared" si="2"/>
        <v>0.10147045652655361</v>
      </c>
      <c r="AT17" s="155">
        <f t="shared" si="3"/>
        <v>1.5425233107474106E-2</v>
      </c>
      <c r="AU17" s="155">
        <f t="shared" si="4"/>
        <v>1.8296082805544234E-2</v>
      </c>
      <c r="AV17" s="156">
        <f t="shared" si="5"/>
        <v>0.10752732610276725</v>
      </c>
      <c r="AW17" s="157">
        <f t="shared" si="6"/>
        <v>2.6392287024906747E-2</v>
      </c>
      <c r="AX17" s="157">
        <f t="shared" si="7"/>
        <v>1.1455740869249354E-2</v>
      </c>
      <c r="AY17" s="157">
        <f t="shared" si="8"/>
        <v>5.5218585336486306E-3</v>
      </c>
      <c r="AZ17" s="158">
        <f t="shared" si="9"/>
        <v>7.1943652509000294E-3</v>
      </c>
      <c r="BA17" s="158">
        <f t="shared" si="10"/>
        <v>8.7024747073137544E-3</v>
      </c>
      <c r="BB17" s="158">
        <f t="shared" si="11"/>
        <v>2.2935167788021324E-3</v>
      </c>
      <c r="BC17" s="158">
        <f t="shared" si="12"/>
        <v>1.4697778032842883E-5</v>
      </c>
      <c r="BD17" s="159">
        <f t="shared" si="13"/>
        <v>2.4720558644641824E-3</v>
      </c>
      <c r="BF17" s="139">
        <f t="shared" si="14"/>
        <v>7.5930609770656714</v>
      </c>
      <c r="BG17" s="140">
        <f t="shared" si="15"/>
        <v>1.6479083240415198</v>
      </c>
      <c r="BH17" s="140">
        <f t="shared" si="16"/>
        <v>0.79431935006535548</v>
      </c>
      <c r="BI17" s="140">
        <f t="shared" si="17"/>
        <v>1.0349094413419693</v>
      </c>
      <c r="BJ17" s="140">
        <f t="shared" si="18"/>
        <v>1.2518509866470835</v>
      </c>
      <c r="BK17" s="140">
        <f t="shared" si="19"/>
        <v>0.32992238863068679</v>
      </c>
      <c r="BL17" s="140">
        <f t="shared" si="20"/>
        <v>4.2268120267511793E-3</v>
      </c>
      <c r="BM17" s="140">
        <f t="shared" si="21"/>
        <v>0.70979089042549426</v>
      </c>
      <c r="BN17" s="140">
        <f t="shared" si="22"/>
        <v>10.035288651172547</v>
      </c>
      <c r="BO17" s="140">
        <f t="shared" si="23"/>
        <v>3.3307005190719852</v>
      </c>
      <c r="BP17" s="140">
        <f t="shared" si="24"/>
        <v>13.365989170244532</v>
      </c>
      <c r="BQ17" s="140">
        <f t="shared" si="25"/>
        <v>-50.161555921550246</v>
      </c>
      <c r="BR17" s="140">
        <f t="shared" si="26"/>
        <v>30</v>
      </c>
      <c r="BS17" s="141" t="str">
        <f t="shared" si="27"/>
        <v>×</v>
      </c>
    </row>
    <row r="18" spans="1:72" s="72" customFormat="1" ht="15" customHeight="1" x14ac:dyDescent="0.3">
      <c r="A18" s="117"/>
      <c r="B18" s="118"/>
      <c r="C18" s="119"/>
      <c r="D18" s="118"/>
      <c r="E18" s="119"/>
      <c r="F18" s="120"/>
      <c r="G18" s="121"/>
      <c r="H18" s="122"/>
      <c r="I18" s="12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4"/>
      <c r="AM18" s="78"/>
      <c r="AN18" s="126">
        <f t="shared" si="1"/>
        <v>0</v>
      </c>
      <c r="AO18" s="127">
        <f t="shared" si="1"/>
        <v>0</v>
      </c>
      <c r="AP18" s="128">
        <f t="shared" si="1"/>
        <v>0</v>
      </c>
      <c r="AQ18" s="127">
        <f t="shared" si="1"/>
        <v>0</v>
      </c>
      <c r="AR18" s="128">
        <f t="shared" si="1"/>
        <v>0</v>
      </c>
      <c r="AS18" s="160" t="e">
        <f t="shared" si="2"/>
        <v>#DIV/0!</v>
      </c>
      <c r="AT18" s="122" t="e">
        <f t="shared" si="3"/>
        <v>#DIV/0!</v>
      </c>
      <c r="AU18" s="122" t="e">
        <f>1000/35.45*(AC18-AD18+AI18-AJ18)*20/H18</f>
        <v>#DIV/0!</v>
      </c>
      <c r="AV18" s="122" t="e">
        <f t="shared" si="5"/>
        <v>#DIV/0!</v>
      </c>
      <c r="AW18" s="122" t="e">
        <f t="shared" ref="AW18:AW24" si="28">1000/96.06*(I18-J18)*40/H18</f>
        <v>#DIV/0!</v>
      </c>
      <c r="AX18" s="122" t="e">
        <f t="shared" ref="AX18:AX24" si="29">1000/62.01*(K18-L18)*40/H18</f>
        <v>#DIV/0!</v>
      </c>
      <c r="AY18" s="122" t="e">
        <f t="shared" ref="AY18:AY24" si="30">1000/35.45*(M18-N18)*40/H18</f>
        <v>#DIV/0!</v>
      </c>
      <c r="AZ18" s="161" t="e">
        <f t="shared" ref="AZ18:AZ24" si="31">1000/18.04*(O18-P18)*40/H18</f>
        <v>#DIV/0!</v>
      </c>
      <c r="BA18" s="161" t="e">
        <f t="shared" ref="BA18:BA24" si="32">1000/22.99*(Q18-R18)*40/H18</f>
        <v>#DIV/0!</v>
      </c>
      <c r="BB18" s="161" t="e">
        <f t="shared" ref="BB18:BB24" si="33">1000/39.1*(S18-T18)*40/H18</f>
        <v>#DIV/0!</v>
      </c>
      <c r="BC18" s="161" t="e">
        <f t="shared" ref="BC18:BC24" si="34">1000/24.31*(U18-V18)*40/H18</f>
        <v>#DIV/0!</v>
      </c>
      <c r="BD18" s="162" t="e">
        <f t="shared" ref="BD18:BD24" si="35">1000/40*(W18-X18)*40/H18</f>
        <v>#DIV/0!</v>
      </c>
      <c r="BF18" s="163">
        <f t="shared" si="14"/>
        <v>0</v>
      </c>
      <c r="BG18" s="164">
        <f t="shared" si="15"/>
        <v>0</v>
      </c>
      <c r="BH18" s="164">
        <f t="shared" si="16"/>
        <v>0</v>
      </c>
      <c r="BI18" s="164">
        <f t="shared" si="17"/>
        <v>0</v>
      </c>
      <c r="BJ18" s="164">
        <f t="shared" si="18"/>
        <v>0</v>
      </c>
      <c r="BK18" s="164">
        <f t="shared" si="19"/>
        <v>0</v>
      </c>
      <c r="BL18" s="164">
        <f t="shared" si="20"/>
        <v>0</v>
      </c>
      <c r="BM18" s="164">
        <f t="shared" si="21"/>
        <v>0</v>
      </c>
      <c r="BN18" s="164">
        <f t="shared" si="22"/>
        <v>0</v>
      </c>
      <c r="BO18" s="164">
        <f t="shared" si="23"/>
        <v>0</v>
      </c>
      <c r="BP18" s="164">
        <f t="shared" si="24"/>
        <v>0</v>
      </c>
      <c r="BQ18" s="164" t="e">
        <f t="shared" si="25"/>
        <v>#DIV/0!</v>
      </c>
      <c r="BR18" s="164">
        <f t="shared" si="26"/>
        <v>30</v>
      </c>
      <c r="BS18" s="165" t="e">
        <f t="shared" si="27"/>
        <v>#DIV/0!</v>
      </c>
    </row>
    <row r="19" spans="1:72" s="72" customFormat="1" ht="15" customHeight="1" x14ac:dyDescent="0.3">
      <c r="A19" s="117"/>
      <c r="B19" s="118"/>
      <c r="C19" s="119"/>
      <c r="D19" s="118"/>
      <c r="E19" s="119"/>
      <c r="F19" s="120"/>
      <c r="G19" s="121"/>
      <c r="H19" s="122"/>
      <c r="I19" s="12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4"/>
      <c r="AM19" s="78"/>
      <c r="AN19" s="126">
        <f t="shared" si="1"/>
        <v>0</v>
      </c>
      <c r="AO19" s="127">
        <f t="shared" si="1"/>
        <v>0</v>
      </c>
      <c r="AP19" s="128">
        <f t="shared" si="1"/>
        <v>0</v>
      </c>
      <c r="AQ19" s="127">
        <f t="shared" si="1"/>
        <v>0</v>
      </c>
      <c r="AR19" s="128">
        <f t="shared" si="1"/>
        <v>0</v>
      </c>
      <c r="AS19" s="160" t="e">
        <f t="shared" si="2"/>
        <v>#DIV/0!</v>
      </c>
      <c r="AT19" s="122" t="e">
        <f t="shared" si="3"/>
        <v>#DIV/0!</v>
      </c>
      <c r="AU19" s="122" t="e">
        <f t="shared" ref="AU19:AU38" si="36">1000/35.45*(AC19-AD19+AI19-AJ19)*20/H19</f>
        <v>#DIV/0!</v>
      </c>
      <c r="AV19" s="122" t="e">
        <f t="shared" si="5"/>
        <v>#DIV/0!</v>
      </c>
      <c r="AW19" s="122" t="e">
        <f t="shared" si="28"/>
        <v>#DIV/0!</v>
      </c>
      <c r="AX19" s="122" t="e">
        <f t="shared" si="29"/>
        <v>#DIV/0!</v>
      </c>
      <c r="AY19" s="122" t="e">
        <f t="shared" si="30"/>
        <v>#DIV/0!</v>
      </c>
      <c r="AZ19" s="161" t="e">
        <f t="shared" si="31"/>
        <v>#DIV/0!</v>
      </c>
      <c r="BA19" s="161" t="e">
        <f t="shared" si="32"/>
        <v>#DIV/0!</v>
      </c>
      <c r="BB19" s="161" t="e">
        <f t="shared" si="33"/>
        <v>#DIV/0!</v>
      </c>
      <c r="BC19" s="161" t="e">
        <f t="shared" si="34"/>
        <v>#DIV/0!</v>
      </c>
      <c r="BD19" s="162" t="e">
        <f t="shared" si="35"/>
        <v>#DIV/0!</v>
      </c>
      <c r="BF19" s="139">
        <f t="shared" si="14"/>
        <v>0</v>
      </c>
      <c r="BG19" s="140">
        <f t="shared" si="15"/>
        <v>0</v>
      </c>
      <c r="BH19" s="140">
        <f t="shared" si="16"/>
        <v>0</v>
      </c>
      <c r="BI19" s="140">
        <f t="shared" si="17"/>
        <v>0</v>
      </c>
      <c r="BJ19" s="140">
        <f t="shared" si="18"/>
        <v>0</v>
      </c>
      <c r="BK19" s="140">
        <f t="shared" si="19"/>
        <v>0</v>
      </c>
      <c r="BL19" s="140">
        <f t="shared" si="20"/>
        <v>0</v>
      </c>
      <c r="BM19" s="140">
        <f t="shared" si="21"/>
        <v>0</v>
      </c>
      <c r="BN19" s="140">
        <f t="shared" si="22"/>
        <v>0</v>
      </c>
      <c r="BO19" s="140">
        <f t="shared" si="23"/>
        <v>0</v>
      </c>
      <c r="BP19" s="140">
        <f t="shared" si="24"/>
        <v>0</v>
      </c>
      <c r="BQ19" s="140" t="e">
        <f t="shared" si="25"/>
        <v>#DIV/0!</v>
      </c>
      <c r="BR19" s="140">
        <f t="shared" si="26"/>
        <v>30</v>
      </c>
      <c r="BS19" s="141" t="e">
        <f t="shared" si="27"/>
        <v>#DIV/0!</v>
      </c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>
        <f t="shared" si="1"/>
        <v>0</v>
      </c>
      <c r="AO20" s="127">
        <f t="shared" si="1"/>
        <v>0</v>
      </c>
      <c r="AP20" s="128">
        <f t="shared" si="1"/>
        <v>0</v>
      </c>
      <c r="AQ20" s="127">
        <f t="shared" si="1"/>
        <v>0</v>
      </c>
      <c r="AR20" s="128">
        <f t="shared" si="1"/>
        <v>0</v>
      </c>
      <c r="AS20" s="160" t="e">
        <f t="shared" si="2"/>
        <v>#DIV/0!</v>
      </c>
      <c r="AT20" s="122" t="e">
        <f t="shared" si="3"/>
        <v>#DIV/0!</v>
      </c>
      <c r="AU20" s="122" t="e">
        <f t="shared" si="36"/>
        <v>#DIV/0!</v>
      </c>
      <c r="AV20" s="122" t="e">
        <f t="shared" si="5"/>
        <v>#DIV/0!</v>
      </c>
      <c r="AW20" s="122" t="e">
        <f t="shared" si="28"/>
        <v>#DIV/0!</v>
      </c>
      <c r="AX20" s="122" t="e">
        <f t="shared" si="29"/>
        <v>#DIV/0!</v>
      </c>
      <c r="AY20" s="122" t="e">
        <f t="shared" si="30"/>
        <v>#DIV/0!</v>
      </c>
      <c r="AZ20" s="161" t="e">
        <f t="shared" si="31"/>
        <v>#DIV/0!</v>
      </c>
      <c r="BA20" s="161" t="e">
        <f t="shared" si="32"/>
        <v>#DIV/0!</v>
      </c>
      <c r="BB20" s="161" t="e">
        <f t="shared" si="33"/>
        <v>#DIV/0!</v>
      </c>
      <c r="BC20" s="161" t="e">
        <f t="shared" si="34"/>
        <v>#DIV/0!</v>
      </c>
      <c r="BD20" s="162" t="e">
        <f t="shared" si="35"/>
        <v>#DIV/0!</v>
      </c>
      <c r="BF20" s="139">
        <f t="shared" si="14"/>
        <v>0</v>
      </c>
      <c r="BG20" s="140">
        <f t="shared" si="15"/>
        <v>0</v>
      </c>
      <c r="BH20" s="140">
        <f t="shared" si="16"/>
        <v>0</v>
      </c>
      <c r="BI20" s="140">
        <f t="shared" si="17"/>
        <v>0</v>
      </c>
      <c r="BJ20" s="140">
        <f t="shared" si="18"/>
        <v>0</v>
      </c>
      <c r="BK20" s="140">
        <f t="shared" si="19"/>
        <v>0</v>
      </c>
      <c r="BL20" s="140">
        <f t="shared" si="20"/>
        <v>0</v>
      </c>
      <c r="BM20" s="140">
        <f t="shared" si="21"/>
        <v>0</v>
      </c>
      <c r="BN20" s="140">
        <f t="shared" si="22"/>
        <v>0</v>
      </c>
      <c r="BO20" s="140">
        <f t="shared" si="23"/>
        <v>0</v>
      </c>
      <c r="BP20" s="140">
        <f t="shared" si="24"/>
        <v>0</v>
      </c>
      <c r="BQ20" s="140" t="e">
        <f t="shared" si="25"/>
        <v>#DIV/0!</v>
      </c>
      <c r="BR20" s="140">
        <f t="shared" si="26"/>
        <v>30</v>
      </c>
      <c r="BS20" s="141" t="e">
        <f t="shared" si="27"/>
        <v>#DIV/0!</v>
      </c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>
        <f t="shared" si="1"/>
        <v>0</v>
      </c>
      <c r="AO21" s="127">
        <f t="shared" si="1"/>
        <v>0</v>
      </c>
      <c r="AP21" s="128">
        <f t="shared" si="1"/>
        <v>0</v>
      </c>
      <c r="AQ21" s="127">
        <f t="shared" si="1"/>
        <v>0</v>
      </c>
      <c r="AR21" s="128">
        <f t="shared" si="1"/>
        <v>0</v>
      </c>
      <c r="AS21" s="160" t="e">
        <f t="shared" si="2"/>
        <v>#DIV/0!</v>
      </c>
      <c r="AT21" s="122" t="e">
        <f t="shared" si="3"/>
        <v>#DIV/0!</v>
      </c>
      <c r="AU21" s="122" t="e">
        <f t="shared" si="36"/>
        <v>#DIV/0!</v>
      </c>
      <c r="AV21" s="122" t="e">
        <f t="shared" si="5"/>
        <v>#DIV/0!</v>
      </c>
      <c r="AW21" s="122" t="e">
        <f t="shared" si="28"/>
        <v>#DIV/0!</v>
      </c>
      <c r="AX21" s="122" t="e">
        <f t="shared" si="29"/>
        <v>#DIV/0!</v>
      </c>
      <c r="AY21" s="122" t="e">
        <f t="shared" si="30"/>
        <v>#DIV/0!</v>
      </c>
      <c r="AZ21" s="161" t="e">
        <f t="shared" si="31"/>
        <v>#DIV/0!</v>
      </c>
      <c r="BA21" s="161" t="e">
        <f t="shared" si="32"/>
        <v>#DIV/0!</v>
      </c>
      <c r="BB21" s="161" t="e">
        <f t="shared" si="33"/>
        <v>#DIV/0!</v>
      </c>
      <c r="BC21" s="161" t="e">
        <f t="shared" si="34"/>
        <v>#DIV/0!</v>
      </c>
      <c r="BD21" s="162" t="e">
        <f t="shared" si="35"/>
        <v>#DIV/0!</v>
      </c>
      <c r="BF21" s="139">
        <f t="shared" si="14"/>
        <v>0</v>
      </c>
      <c r="BG21" s="140">
        <f t="shared" si="15"/>
        <v>0</v>
      </c>
      <c r="BH21" s="140">
        <f t="shared" si="16"/>
        <v>0</v>
      </c>
      <c r="BI21" s="140">
        <f t="shared" si="17"/>
        <v>0</v>
      </c>
      <c r="BJ21" s="140">
        <f t="shared" si="18"/>
        <v>0</v>
      </c>
      <c r="BK21" s="140">
        <f t="shared" si="19"/>
        <v>0</v>
      </c>
      <c r="BL21" s="140">
        <f t="shared" si="20"/>
        <v>0</v>
      </c>
      <c r="BM21" s="140">
        <f t="shared" si="21"/>
        <v>0</v>
      </c>
      <c r="BN21" s="140">
        <f t="shared" si="22"/>
        <v>0</v>
      </c>
      <c r="BO21" s="140">
        <f t="shared" si="23"/>
        <v>0</v>
      </c>
      <c r="BP21" s="140">
        <f t="shared" si="24"/>
        <v>0</v>
      </c>
      <c r="BQ21" s="140" t="e">
        <f t="shared" si="25"/>
        <v>#DIV/0!</v>
      </c>
      <c r="BR21" s="140">
        <f t="shared" si="26"/>
        <v>30</v>
      </c>
      <c r="BS21" s="141" t="e">
        <f t="shared" si="27"/>
        <v>#DIV/0!</v>
      </c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>
        <f t="shared" si="1"/>
        <v>0</v>
      </c>
      <c r="AO22" s="127">
        <f t="shared" si="1"/>
        <v>0</v>
      </c>
      <c r="AP22" s="128">
        <f t="shared" si="1"/>
        <v>0</v>
      </c>
      <c r="AQ22" s="127">
        <f t="shared" si="1"/>
        <v>0</v>
      </c>
      <c r="AR22" s="128">
        <f t="shared" si="1"/>
        <v>0</v>
      </c>
      <c r="AS22" s="160" t="e">
        <f t="shared" si="2"/>
        <v>#DIV/0!</v>
      </c>
      <c r="AT22" s="122" t="e">
        <f t="shared" si="3"/>
        <v>#DIV/0!</v>
      </c>
      <c r="AU22" s="122" t="e">
        <f t="shared" si="36"/>
        <v>#DIV/0!</v>
      </c>
      <c r="AV22" s="122" t="e">
        <f t="shared" si="5"/>
        <v>#DIV/0!</v>
      </c>
      <c r="AW22" s="122" t="e">
        <f t="shared" si="28"/>
        <v>#DIV/0!</v>
      </c>
      <c r="AX22" s="122" t="e">
        <f t="shared" si="29"/>
        <v>#DIV/0!</v>
      </c>
      <c r="AY22" s="122" t="e">
        <f t="shared" si="30"/>
        <v>#DIV/0!</v>
      </c>
      <c r="AZ22" s="161" t="e">
        <f t="shared" si="31"/>
        <v>#DIV/0!</v>
      </c>
      <c r="BA22" s="161" t="e">
        <f t="shared" si="32"/>
        <v>#DIV/0!</v>
      </c>
      <c r="BB22" s="161" t="e">
        <f t="shared" si="33"/>
        <v>#DIV/0!</v>
      </c>
      <c r="BC22" s="161" t="e">
        <f t="shared" si="34"/>
        <v>#DIV/0!</v>
      </c>
      <c r="BD22" s="162" t="e">
        <f t="shared" si="35"/>
        <v>#DIV/0!</v>
      </c>
      <c r="BF22" s="139">
        <f t="shared" si="14"/>
        <v>0</v>
      </c>
      <c r="BG22" s="140">
        <f t="shared" si="15"/>
        <v>0</v>
      </c>
      <c r="BH22" s="140">
        <f t="shared" si="16"/>
        <v>0</v>
      </c>
      <c r="BI22" s="140">
        <f t="shared" si="17"/>
        <v>0</v>
      </c>
      <c r="BJ22" s="140">
        <f t="shared" si="18"/>
        <v>0</v>
      </c>
      <c r="BK22" s="140">
        <f t="shared" si="19"/>
        <v>0</v>
      </c>
      <c r="BL22" s="140">
        <f t="shared" si="20"/>
        <v>0</v>
      </c>
      <c r="BM22" s="140">
        <f t="shared" si="21"/>
        <v>0</v>
      </c>
      <c r="BN22" s="140">
        <f t="shared" si="22"/>
        <v>0</v>
      </c>
      <c r="BO22" s="140">
        <f t="shared" si="23"/>
        <v>0</v>
      </c>
      <c r="BP22" s="140">
        <f t="shared" si="24"/>
        <v>0</v>
      </c>
      <c r="BQ22" s="140" t="e">
        <f t="shared" si="25"/>
        <v>#DIV/0!</v>
      </c>
      <c r="BR22" s="140">
        <f t="shared" si="26"/>
        <v>30</v>
      </c>
      <c r="BS22" s="141" t="e">
        <f t="shared" si="27"/>
        <v>#DIV/0!</v>
      </c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>
        <f t="shared" si="1"/>
        <v>0</v>
      </c>
      <c r="AO23" s="127">
        <f t="shared" si="1"/>
        <v>0</v>
      </c>
      <c r="AP23" s="128">
        <f t="shared" si="1"/>
        <v>0</v>
      </c>
      <c r="AQ23" s="127">
        <f t="shared" si="1"/>
        <v>0</v>
      </c>
      <c r="AR23" s="128">
        <f t="shared" si="1"/>
        <v>0</v>
      </c>
      <c r="AS23" s="160" t="e">
        <f t="shared" si="2"/>
        <v>#DIV/0!</v>
      </c>
      <c r="AT23" s="122" t="e">
        <f t="shared" si="3"/>
        <v>#DIV/0!</v>
      </c>
      <c r="AU23" s="122" t="e">
        <f t="shared" si="36"/>
        <v>#DIV/0!</v>
      </c>
      <c r="AV23" s="122" t="e">
        <f t="shared" si="5"/>
        <v>#DIV/0!</v>
      </c>
      <c r="AW23" s="122" t="e">
        <f t="shared" si="28"/>
        <v>#DIV/0!</v>
      </c>
      <c r="AX23" s="122" t="e">
        <f t="shared" si="29"/>
        <v>#DIV/0!</v>
      </c>
      <c r="AY23" s="122" t="e">
        <f t="shared" si="30"/>
        <v>#DIV/0!</v>
      </c>
      <c r="AZ23" s="161" t="e">
        <f t="shared" si="31"/>
        <v>#DIV/0!</v>
      </c>
      <c r="BA23" s="161" t="e">
        <f t="shared" si="32"/>
        <v>#DIV/0!</v>
      </c>
      <c r="BB23" s="161" t="e">
        <f t="shared" si="33"/>
        <v>#DIV/0!</v>
      </c>
      <c r="BC23" s="161" t="e">
        <f t="shared" si="34"/>
        <v>#DIV/0!</v>
      </c>
      <c r="BD23" s="162" t="e">
        <f t="shared" si="35"/>
        <v>#DIV/0!</v>
      </c>
      <c r="BF23" s="139">
        <f t="shared" si="14"/>
        <v>0</v>
      </c>
      <c r="BG23" s="140">
        <f t="shared" si="15"/>
        <v>0</v>
      </c>
      <c r="BH23" s="140">
        <f t="shared" si="16"/>
        <v>0</v>
      </c>
      <c r="BI23" s="140">
        <f t="shared" si="17"/>
        <v>0</v>
      </c>
      <c r="BJ23" s="140">
        <f t="shared" si="18"/>
        <v>0</v>
      </c>
      <c r="BK23" s="140">
        <f t="shared" si="19"/>
        <v>0</v>
      </c>
      <c r="BL23" s="140">
        <f t="shared" si="20"/>
        <v>0</v>
      </c>
      <c r="BM23" s="140">
        <f t="shared" si="21"/>
        <v>0</v>
      </c>
      <c r="BN23" s="140">
        <f t="shared" si="22"/>
        <v>0</v>
      </c>
      <c r="BO23" s="140">
        <f t="shared" si="23"/>
        <v>0</v>
      </c>
      <c r="BP23" s="140">
        <f t="shared" si="24"/>
        <v>0</v>
      </c>
      <c r="BQ23" s="140" t="e">
        <f t="shared" si="25"/>
        <v>#DIV/0!</v>
      </c>
      <c r="BR23" s="140">
        <f t="shared" si="26"/>
        <v>30</v>
      </c>
      <c r="BS23" s="141" t="e">
        <f t="shared" si="27"/>
        <v>#DIV/0!</v>
      </c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166"/>
      <c r="AN24" s="151">
        <f t="shared" si="1"/>
        <v>0</v>
      </c>
      <c r="AO24" s="152">
        <f t="shared" si="1"/>
        <v>0</v>
      </c>
      <c r="AP24" s="153">
        <f t="shared" si="1"/>
        <v>0</v>
      </c>
      <c r="AQ24" s="152">
        <f t="shared" si="1"/>
        <v>0</v>
      </c>
      <c r="AR24" s="153">
        <f t="shared" si="1"/>
        <v>0</v>
      </c>
      <c r="AS24" s="167" t="e">
        <f t="shared" si="2"/>
        <v>#DIV/0!</v>
      </c>
      <c r="AT24" s="168" t="e">
        <f t="shared" si="3"/>
        <v>#DIV/0!</v>
      </c>
      <c r="AU24" s="168" t="e">
        <f t="shared" si="36"/>
        <v>#DIV/0!</v>
      </c>
      <c r="AV24" s="168" t="e">
        <f t="shared" si="5"/>
        <v>#DIV/0!</v>
      </c>
      <c r="AW24" s="168" t="e">
        <f t="shared" si="28"/>
        <v>#DIV/0!</v>
      </c>
      <c r="AX24" s="168" t="e">
        <f t="shared" si="29"/>
        <v>#DIV/0!</v>
      </c>
      <c r="AY24" s="168" t="e">
        <f t="shared" si="30"/>
        <v>#DIV/0!</v>
      </c>
      <c r="AZ24" s="169" t="e">
        <f t="shared" si="31"/>
        <v>#DIV/0!</v>
      </c>
      <c r="BA24" s="169" t="e">
        <f t="shared" si="32"/>
        <v>#DIV/0!</v>
      </c>
      <c r="BB24" s="169" t="e">
        <f t="shared" si="33"/>
        <v>#DIV/0!</v>
      </c>
      <c r="BC24" s="169" t="e">
        <f t="shared" si="34"/>
        <v>#DIV/0!</v>
      </c>
      <c r="BD24" s="170" t="e">
        <f t="shared" si="35"/>
        <v>#DIV/0!</v>
      </c>
      <c r="BE24" s="171"/>
      <c r="BF24" s="172">
        <f t="shared" si="14"/>
        <v>0</v>
      </c>
      <c r="BG24" s="173">
        <f t="shared" si="15"/>
        <v>0</v>
      </c>
      <c r="BH24" s="173">
        <f t="shared" si="16"/>
        <v>0</v>
      </c>
      <c r="BI24" s="173">
        <f t="shared" si="17"/>
        <v>0</v>
      </c>
      <c r="BJ24" s="173">
        <f t="shared" si="18"/>
        <v>0</v>
      </c>
      <c r="BK24" s="173">
        <f t="shared" si="19"/>
        <v>0</v>
      </c>
      <c r="BL24" s="173">
        <f t="shared" si="20"/>
        <v>0</v>
      </c>
      <c r="BM24" s="173">
        <f t="shared" si="21"/>
        <v>0</v>
      </c>
      <c r="BN24" s="173">
        <f t="shared" si="22"/>
        <v>0</v>
      </c>
      <c r="BO24" s="173">
        <f t="shared" si="23"/>
        <v>0</v>
      </c>
      <c r="BP24" s="173">
        <f t="shared" si="24"/>
        <v>0</v>
      </c>
      <c r="BQ24" s="173" t="e">
        <f t="shared" si="25"/>
        <v>#DIV/0!</v>
      </c>
      <c r="BR24" s="173">
        <f t="shared" si="26"/>
        <v>30</v>
      </c>
      <c r="BS24" s="174" t="e">
        <f t="shared" si="27"/>
        <v>#DIV/0!</v>
      </c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>
        <f t="shared" si="1"/>
        <v>0</v>
      </c>
      <c r="AO25" s="127">
        <f t="shared" si="1"/>
        <v>0</v>
      </c>
      <c r="AP25" s="128">
        <f t="shared" si="1"/>
        <v>0</v>
      </c>
      <c r="AQ25" s="127">
        <f t="shared" si="1"/>
        <v>0</v>
      </c>
      <c r="AR25" s="128">
        <f t="shared" si="1"/>
        <v>0</v>
      </c>
      <c r="AS25" s="160" t="e">
        <f t="shared" si="2"/>
        <v>#DIV/0!</v>
      </c>
      <c r="AT25" s="122" t="e">
        <f t="shared" si="3"/>
        <v>#DIV/0!</v>
      </c>
      <c r="AU25" s="122" t="e">
        <f t="shared" si="36"/>
        <v>#DIV/0!</v>
      </c>
      <c r="AV25" s="122" t="e">
        <f t="shared" si="5"/>
        <v>#DIV/0!</v>
      </c>
      <c r="AW25" s="122" t="e">
        <f t="shared" ref="AW25:AW31" si="37">(I25-J25)*20/H25</f>
        <v>#DIV/0!</v>
      </c>
      <c r="AX25" s="122" t="e">
        <f t="shared" ref="AX25:AX31" si="38">(K25-L25)*20/H25</f>
        <v>#DIV/0!</v>
      </c>
      <c r="AY25" s="122" t="e">
        <f t="shared" ref="AY25:AY31" si="39">(M25-N25)*20/H25</f>
        <v>#DIV/0!</v>
      </c>
      <c r="AZ25" s="161" t="e">
        <f t="shared" ref="AZ25:AZ31" si="40">(O25-P25)*20/H25</f>
        <v>#DIV/0!</v>
      </c>
      <c r="BA25" s="161" t="e">
        <f t="shared" ref="BA25:BA31" si="41">(Q25-R25)*20/H25</f>
        <v>#DIV/0!</v>
      </c>
      <c r="BB25" s="161" t="e">
        <f t="shared" ref="BB25:BB31" si="42">(S25-T25)*20/H25</f>
        <v>#DIV/0!</v>
      </c>
      <c r="BC25" s="161" t="e">
        <f t="shared" ref="BC25:BC31" si="43">(U25-V25)*20/H25</f>
        <v>#DIV/0!</v>
      </c>
      <c r="BD25" s="162" t="e">
        <f t="shared" ref="BD25:BD31" si="44">(W25-X25)*20/H25</f>
        <v>#DIV/0!</v>
      </c>
      <c r="BE25" s="179"/>
      <c r="BF25" s="163">
        <f t="shared" si="14"/>
        <v>0</v>
      </c>
      <c r="BG25" s="164">
        <f t="shared" si="15"/>
        <v>0</v>
      </c>
      <c r="BH25" s="164">
        <f t="shared" si="16"/>
        <v>0</v>
      </c>
      <c r="BI25" s="164">
        <f t="shared" si="17"/>
        <v>0</v>
      </c>
      <c r="BJ25" s="164">
        <f t="shared" si="18"/>
        <v>0</v>
      </c>
      <c r="BK25" s="164">
        <f t="shared" si="19"/>
        <v>0</v>
      </c>
      <c r="BL25" s="164">
        <f t="shared" si="20"/>
        <v>0</v>
      </c>
      <c r="BM25" s="164">
        <f t="shared" si="21"/>
        <v>0</v>
      </c>
      <c r="BN25" s="164">
        <f t="shared" si="22"/>
        <v>0</v>
      </c>
      <c r="BO25" s="164">
        <f t="shared" si="23"/>
        <v>0</v>
      </c>
      <c r="BP25" s="164">
        <f t="shared" si="24"/>
        <v>0</v>
      </c>
      <c r="BQ25" s="164" t="e">
        <f t="shared" si="25"/>
        <v>#DIV/0!</v>
      </c>
      <c r="BR25" s="164">
        <f t="shared" si="26"/>
        <v>30</v>
      </c>
      <c r="BS25" s="165" t="e">
        <f t="shared" si="27"/>
        <v>#DIV/0!</v>
      </c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>
        <f t="shared" si="1"/>
        <v>0</v>
      </c>
      <c r="AO26" s="127">
        <f t="shared" si="1"/>
        <v>0</v>
      </c>
      <c r="AP26" s="128">
        <f t="shared" si="1"/>
        <v>0</v>
      </c>
      <c r="AQ26" s="127">
        <f t="shared" si="1"/>
        <v>0</v>
      </c>
      <c r="AR26" s="128">
        <f t="shared" si="1"/>
        <v>0</v>
      </c>
      <c r="AS26" s="160" t="e">
        <f t="shared" si="2"/>
        <v>#DIV/0!</v>
      </c>
      <c r="AT26" s="122" t="e">
        <f t="shared" si="3"/>
        <v>#DIV/0!</v>
      </c>
      <c r="AU26" s="122" t="e">
        <f t="shared" si="36"/>
        <v>#DIV/0!</v>
      </c>
      <c r="AV26" s="122" t="e">
        <f t="shared" si="5"/>
        <v>#DIV/0!</v>
      </c>
      <c r="AW26" s="122" t="e">
        <f t="shared" si="37"/>
        <v>#DIV/0!</v>
      </c>
      <c r="AX26" s="122" t="e">
        <f t="shared" si="38"/>
        <v>#DIV/0!</v>
      </c>
      <c r="AY26" s="122" t="e">
        <f t="shared" si="39"/>
        <v>#DIV/0!</v>
      </c>
      <c r="AZ26" s="161" t="e">
        <f t="shared" si="40"/>
        <v>#DIV/0!</v>
      </c>
      <c r="BA26" s="161" t="e">
        <f t="shared" si="41"/>
        <v>#DIV/0!</v>
      </c>
      <c r="BB26" s="161" t="e">
        <f t="shared" si="42"/>
        <v>#DIV/0!</v>
      </c>
      <c r="BC26" s="161" t="e">
        <f t="shared" si="43"/>
        <v>#DIV/0!</v>
      </c>
      <c r="BD26" s="162" t="e">
        <f t="shared" si="44"/>
        <v>#DIV/0!</v>
      </c>
      <c r="BE26" s="179"/>
      <c r="BF26" s="139">
        <f t="shared" si="14"/>
        <v>0</v>
      </c>
      <c r="BG26" s="140">
        <f t="shared" si="15"/>
        <v>0</v>
      </c>
      <c r="BH26" s="140">
        <f t="shared" si="16"/>
        <v>0</v>
      </c>
      <c r="BI26" s="140">
        <f t="shared" si="17"/>
        <v>0</v>
      </c>
      <c r="BJ26" s="140">
        <f t="shared" si="18"/>
        <v>0</v>
      </c>
      <c r="BK26" s="140">
        <f t="shared" si="19"/>
        <v>0</v>
      </c>
      <c r="BL26" s="140">
        <f t="shared" si="20"/>
        <v>0</v>
      </c>
      <c r="BM26" s="140">
        <f t="shared" si="21"/>
        <v>0</v>
      </c>
      <c r="BN26" s="140">
        <f t="shared" si="22"/>
        <v>0</v>
      </c>
      <c r="BO26" s="140">
        <f t="shared" si="23"/>
        <v>0</v>
      </c>
      <c r="BP26" s="140">
        <f t="shared" si="24"/>
        <v>0</v>
      </c>
      <c r="BQ26" s="140" t="e">
        <f t="shared" si="25"/>
        <v>#DIV/0!</v>
      </c>
      <c r="BR26" s="140">
        <f t="shared" si="26"/>
        <v>30</v>
      </c>
      <c r="BS26" s="141" t="e">
        <f t="shared" si="27"/>
        <v>#DIV/0!</v>
      </c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>
        <f t="shared" si="1"/>
        <v>0</v>
      </c>
      <c r="AO27" s="127">
        <f t="shared" si="1"/>
        <v>0</v>
      </c>
      <c r="AP27" s="128">
        <f t="shared" si="1"/>
        <v>0</v>
      </c>
      <c r="AQ27" s="127">
        <f t="shared" si="1"/>
        <v>0</v>
      </c>
      <c r="AR27" s="128">
        <f t="shared" si="1"/>
        <v>0</v>
      </c>
      <c r="AS27" s="160" t="e">
        <f t="shared" si="2"/>
        <v>#DIV/0!</v>
      </c>
      <c r="AT27" s="122" t="e">
        <f t="shared" si="3"/>
        <v>#DIV/0!</v>
      </c>
      <c r="AU27" s="122" t="e">
        <f t="shared" si="36"/>
        <v>#DIV/0!</v>
      </c>
      <c r="AV27" s="122" t="e">
        <f t="shared" si="5"/>
        <v>#DIV/0!</v>
      </c>
      <c r="AW27" s="122" t="e">
        <f t="shared" si="37"/>
        <v>#DIV/0!</v>
      </c>
      <c r="AX27" s="122" t="e">
        <f t="shared" si="38"/>
        <v>#DIV/0!</v>
      </c>
      <c r="AY27" s="122" t="e">
        <f t="shared" si="39"/>
        <v>#DIV/0!</v>
      </c>
      <c r="AZ27" s="161" t="e">
        <f t="shared" si="40"/>
        <v>#DIV/0!</v>
      </c>
      <c r="BA27" s="161" t="e">
        <f t="shared" si="41"/>
        <v>#DIV/0!</v>
      </c>
      <c r="BB27" s="161" t="e">
        <f t="shared" si="42"/>
        <v>#DIV/0!</v>
      </c>
      <c r="BC27" s="161" t="e">
        <f t="shared" si="43"/>
        <v>#DIV/0!</v>
      </c>
      <c r="BD27" s="162" t="e">
        <f t="shared" si="44"/>
        <v>#DIV/0!</v>
      </c>
      <c r="BE27" s="179"/>
      <c r="BF27" s="139">
        <f t="shared" si="14"/>
        <v>0</v>
      </c>
      <c r="BG27" s="140">
        <f t="shared" si="15"/>
        <v>0</v>
      </c>
      <c r="BH27" s="140">
        <f t="shared" si="16"/>
        <v>0</v>
      </c>
      <c r="BI27" s="140">
        <f t="shared" si="17"/>
        <v>0</v>
      </c>
      <c r="BJ27" s="140">
        <f t="shared" si="18"/>
        <v>0</v>
      </c>
      <c r="BK27" s="140">
        <f t="shared" si="19"/>
        <v>0</v>
      </c>
      <c r="BL27" s="140">
        <f t="shared" si="20"/>
        <v>0</v>
      </c>
      <c r="BM27" s="140">
        <f t="shared" si="21"/>
        <v>0</v>
      </c>
      <c r="BN27" s="140">
        <f t="shared" si="22"/>
        <v>0</v>
      </c>
      <c r="BO27" s="140">
        <f t="shared" si="23"/>
        <v>0</v>
      </c>
      <c r="BP27" s="140">
        <f t="shared" si="24"/>
        <v>0</v>
      </c>
      <c r="BQ27" s="140" t="e">
        <f t="shared" si="25"/>
        <v>#DIV/0!</v>
      </c>
      <c r="BR27" s="140">
        <f t="shared" si="26"/>
        <v>30</v>
      </c>
      <c r="BS27" s="141" t="e">
        <f t="shared" si="27"/>
        <v>#DIV/0!</v>
      </c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>
        <f t="shared" si="1"/>
        <v>0</v>
      </c>
      <c r="AO28" s="127">
        <f t="shared" si="1"/>
        <v>0</v>
      </c>
      <c r="AP28" s="128">
        <f t="shared" si="1"/>
        <v>0</v>
      </c>
      <c r="AQ28" s="127">
        <f t="shared" si="1"/>
        <v>0</v>
      </c>
      <c r="AR28" s="128">
        <f t="shared" si="1"/>
        <v>0</v>
      </c>
      <c r="AS28" s="160" t="e">
        <f t="shared" si="2"/>
        <v>#DIV/0!</v>
      </c>
      <c r="AT28" s="122" t="e">
        <f t="shared" si="3"/>
        <v>#DIV/0!</v>
      </c>
      <c r="AU28" s="122" t="e">
        <f t="shared" si="36"/>
        <v>#DIV/0!</v>
      </c>
      <c r="AV28" s="122" t="e">
        <f t="shared" si="5"/>
        <v>#DIV/0!</v>
      </c>
      <c r="AW28" s="122" t="e">
        <f t="shared" si="37"/>
        <v>#DIV/0!</v>
      </c>
      <c r="AX28" s="122" t="e">
        <f t="shared" si="38"/>
        <v>#DIV/0!</v>
      </c>
      <c r="AY28" s="122" t="e">
        <f t="shared" si="39"/>
        <v>#DIV/0!</v>
      </c>
      <c r="AZ28" s="161" t="e">
        <f t="shared" si="40"/>
        <v>#DIV/0!</v>
      </c>
      <c r="BA28" s="161" t="e">
        <f t="shared" si="41"/>
        <v>#DIV/0!</v>
      </c>
      <c r="BB28" s="161" t="e">
        <f t="shared" si="42"/>
        <v>#DIV/0!</v>
      </c>
      <c r="BC28" s="161" t="e">
        <f t="shared" si="43"/>
        <v>#DIV/0!</v>
      </c>
      <c r="BD28" s="162" t="e">
        <f t="shared" si="44"/>
        <v>#DIV/0!</v>
      </c>
      <c r="BE28" s="179"/>
      <c r="BF28" s="139">
        <f t="shared" si="14"/>
        <v>0</v>
      </c>
      <c r="BG28" s="140">
        <f t="shared" si="15"/>
        <v>0</v>
      </c>
      <c r="BH28" s="140">
        <f t="shared" si="16"/>
        <v>0</v>
      </c>
      <c r="BI28" s="140">
        <f t="shared" si="17"/>
        <v>0</v>
      </c>
      <c r="BJ28" s="140">
        <f t="shared" si="18"/>
        <v>0</v>
      </c>
      <c r="BK28" s="140">
        <f t="shared" si="19"/>
        <v>0</v>
      </c>
      <c r="BL28" s="140">
        <f t="shared" si="20"/>
        <v>0</v>
      </c>
      <c r="BM28" s="140">
        <f t="shared" si="21"/>
        <v>0</v>
      </c>
      <c r="BN28" s="140">
        <f t="shared" si="22"/>
        <v>0</v>
      </c>
      <c r="BO28" s="140">
        <f t="shared" si="23"/>
        <v>0</v>
      </c>
      <c r="BP28" s="140">
        <f t="shared" si="24"/>
        <v>0</v>
      </c>
      <c r="BQ28" s="140" t="e">
        <f t="shared" si="25"/>
        <v>#DIV/0!</v>
      </c>
      <c r="BR28" s="140">
        <f t="shared" si="26"/>
        <v>30</v>
      </c>
      <c r="BS28" s="141" t="e">
        <f t="shared" si="27"/>
        <v>#DIV/0!</v>
      </c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>
        <f t="shared" si="1"/>
        <v>0</v>
      </c>
      <c r="AO29" s="127">
        <f t="shared" si="1"/>
        <v>0</v>
      </c>
      <c r="AP29" s="128">
        <f t="shared" si="1"/>
        <v>0</v>
      </c>
      <c r="AQ29" s="127">
        <f t="shared" si="1"/>
        <v>0</v>
      </c>
      <c r="AR29" s="128">
        <f t="shared" si="1"/>
        <v>0</v>
      </c>
      <c r="AS29" s="160" t="e">
        <f t="shared" si="2"/>
        <v>#DIV/0!</v>
      </c>
      <c r="AT29" s="122" t="e">
        <f t="shared" si="3"/>
        <v>#DIV/0!</v>
      </c>
      <c r="AU29" s="122" t="e">
        <f t="shared" si="36"/>
        <v>#DIV/0!</v>
      </c>
      <c r="AV29" s="122" t="e">
        <f t="shared" si="5"/>
        <v>#DIV/0!</v>
      </c>
      <c r="AW29" s="122" t="e">
        <f t="shared" si="37"/>
        <v>#DIV/0!</v>
      </c>
      <c r="AX29" s="122" t="e">
        <f t="shared" si="38"/>
        <v>#DIV/0!</v>
      </c>
      <c r="AY29" s="122" t="e">
        <f t="shared" si="39"/>
        <v>#DIV/0!</v>
      </c>
      <c r="AZ29" s="161" t="e">
        <f t="shared" si="40"/>
        <v>#DIV/0!</v>
      </c>
      <c r="BA29" s="161" t="e">
        <f t="shared" si="41"/>
        <v>#DIV/0!</v>
      </c>
      <c r="BB29" s="161" t="e">
        <f t="shared" si="42"/>
        <v>#DIV/0!</v>
      </c>
      <c r="BC29" s="161" t="e">
        <f t="shared" si="43"/>
        <v>#DIV/0!</v>
      </c>
      <c r="BD29" s="162" t="e">
        <f t="shared" si="44"/>
        <v>#DIV/0!</v>
      </c>
      <c r="BE29" s="179"/>
      <c r="BF29" s="139">
        <f t="shared" si="14"/>
        <v>0</v>
      </c>
      <c r="BG29" s="140">
        <f t="shared" si="15"/>
        <v>0</v>
      </c>
      <c r="BH29" s="140">
        <f t="shared" si="16"/>
        <v>0</v>
      </c>
      <c r="BI29" s="140">
        <f t="shared" si="17"/>
        <v>0</v>
      </c>
      <c r="BJ29" s="140">
        <f t="shared" si="18"/>
        <v>0</v>
      </c>
      <c r="BK29" s="140">
        <f t="shared" si="19"/>
        <v>0</v>
      </c>
      <c r="BL29" s="140">
        <f t="shared" si="20"/>
        <v>0</v>
      </c>
      <c r="BM29" s="140">
        <f t="shared" si="21"/>
        <v>0</v>
      </c>
      <c r="BN29" s="140">
        <f t="shared" si="22"/>
        <v>0</v>
      </c>
      <c r="BO29" s="140">
        <f t="shared" si="23"/>
        <v>0</v>
      </c>
      <c r="BP29" s="140">
        <f t="shared" si="24"/>
        <v>0</v>
      </c>
      <c r="BQ29" s="140" t="e">
        <f t="shared" si="25"/>
        <v>#DIV/0!</v>
      </c>
      <c r="BR29" s="140">
        <f t="shared" si="26"/>
        <v>30</v>
      </c>
      <c r="BS29" s="141" t="e">
        <f t="shared" si="27"/>
        <v>#DIV/0!</v>
      </c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>
        <f t="shared" si="1"/>
        <v>0</v>
      </c>
      <c r="AO30" s="127">
        <f t="shared" si="1"/>
        <v>0</v>
      </c>
      <c r="AP30" s="128">
        <f t="shared" si="1"/>
        <v>0</v>
      </c>
      <c r="AQ30" s="127">
        <f t="shared" si="1"/>
        <v>0</v>
      </c>
      <c r="AR30" s="128">
        <f t="shared" si="1"/>
        <v>0</v>
      </c>
      <c r="AS30" s="160" t="e">
        <f t="shared" si="2"/>
        <v>#DIV/0!</v>
      </c>
      <c r="AT30" s="122" t="e">
        <f t="shared" si="3"/>
        <v>#DIV/0!</v>
      </c>
      <c r="AU30" s="122" t="e">
        <f t="shared" si="36"/>
        <v>#DIV/0!</v>
      </c>
      <c r="AV30" s="122" t="e">
        <f t="shared" si="5"/>
        <v>#DIV/0!</v>
      </c>
      <c r="AW30" s="122" t="e">
        <f t="shared" si="37"/>
        <v>#DIV/0!</v>
      </c>
      <c r="AX30" s="122" t="e">
        <f t="shared" si="38"/>
        <v>#DIV/0!</v>
      </c>
      <c r="AY30" s="122" t="e">
        <f t="shared" si="39"/>
        <v>#DIV/0!</v>
      </c>
      <c r="AZ30" s="161" t="e">
        <f t="shared" si="40"/>
        <v>#DIV/0!</v>
      </c>
      <c r="BA30" s="161" t="e">
        <f t="shared" si="41"/>
        <v>#DIV/0!</v>
      </c>
      <c r="BB30" s="161" t="e">
        <f t="shared" si="42"/>
        <v>#DIV/0!</v>
      </c>
      <c r="BC30" s="161" t="e">
        <f t="shared" si="43"/>
        <v>#DIV/0!</v>
      </c>
      <c r="BD30" s="162" t="e">
        <f t="shared" si="44"/>
        <v>#DIV/0!</v>
      </c>
      <c r="BE30" s="179"/>
      <c r="BF30" s="139">
        <f t="shared" si="14"/>
        <v>0</v>
      </c>
      <c r="BG30" s="140">
        <f t="shared" si="15"/>
        <v>0</v>
      </c>
      <c r="BH30" s="140">
        <f t="shared" si="16"/>
        <v>0</v>
      </c>
      <c r="BI30" s="140">
        <f t="shared" si="17"/>
        <v>0</v>
      </c>
      <c r="BJ30" s="140">
        <f t="shared" si="18"/>
        <v>0</v>
      </c>
      <c r="BK30" s="140">
        <f t="shared" si="19"/>
        <v>0</v>
      </c>
      <c r="BL30" s="140">
        <f t="shared" si="20"/>
        <v>0</v>
      </c>
      <c r="BM30" s="140">
        <f t="shared" si="21"/>
        <v>0</v>
      </c>
      <c r="BN30" s="140">
        <f t="shared" si="22"/>
        <v>0</v>
      </c>
      <c r="BO30" s="140">
        <f t="shared" si="23"/>
        <v>0</v>
      </c>
      <c r="BP30" s="140">
        <f t="shared" si="24"/>
        <v>0</v>
      </c>
      <c r="BQ30" s="140" t="e">
        <f t="shared" si="25"/>
        <v>#DIV/0!</v>
      </c>
      <c r="BR30" s="140">
        <f t="shared" si="26"/>
        <v>30</v>
      </c>
      <c r="BS30" s="141" t="e">
        <f t="shared" si="27"/>
        <v>#DIV/0!</v>
      </c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>
        <f t="shared" si="1"/>
        <v>0</v>
      </c>
      <c r="AO31" s="152">
        <f t="shared" si="1"/>
        <v>0</v>
      </c>
      <c r="AP31" s="153">
        <f t="shared" si="1"/>
        <v>0</v>
      </c>
      <c r="AQ31" s="152">
        <f t="shared" si="1"/>
        <v>0</v>
      </c>
      <c r="AR31" s="153">
        <f t="shared" si="1"/>
        <v>0</v>
      </c>
      <c r="AS31" s="183" t="e">
        <f t="shared" si="2"/>
        <v>#DIV/0!</v>
      </c>
      <c r="AT31" s="148" t="e">
        <f t="shared" si="3"/>
        <v>#DIV/0!</v>
      </c>
      <c r="AU31" s="148" t="e">
        <f t="shared" si="36"/>
        <v>#DIV/0!</v>
      </c>
      <c r="AV31" s="148" t="e">
        <f t="shared" si="5"/>
        <v>#DIV/0!</v>
      </c>
      <c r="AW31" s="148" t="e">
        <f t="shared" si="37"/>
        <v>#DIV/0!</v>
      </c>
      <c r="AX31" s="148" t="e">
        <f t="shared" si="38"/>
        <v>#DIV/0!</v>
      </c>
      <c r="AY31" s="148" t="e">
        <f t="shared" si="39"/>
        <v>#DIV/0!</v>
      </c>
      <c r="AZ31" s="184" t="e">
        <f t="shared" si="40"/>
        <v>#DIV/0!</v>
      </c>
      <c r="BA31" s="184" t="e">
        <f t="shared" si="41"/>
        <v>#DIV/0!</v>
      </c>
      <c r="BB31" s="184" t="e">
        <f t="shared" si="42"/>
        <v>#DIV/0!</v>
      </c>
      <c r="BC31" s="184" t="e">
        <f t="shared" si="43"/>
        <v>#DIV/0!</v>
      </c>
      <c r="BD31" s="185" t="e">
        <f t="shared" si="44"/>
        <v>#DIV/0!</v>
      </c>
      <c r="BE31" s="179"/>
      <c r="BF31" s="139">
        <f t="shared" si="14"/>
        <v>0</v>
      </c>
      <c r="BG31" s="140">
        <f t="shared" si="15"/>
        <v>0</v>
      </c>
      <c r="BH31" s="140">
        <f t="shared" si="16"/>
        <v>0</v>
      </c>
      <c r="BI31" s="140">
        <f t="shared" si="17"/>
        <v>0</v>
      </c>
      <c r="BJ31" s="140">
        <f t="shared" si="18"/>
        <v>0</v>
      </c>
      <c r="BK31" s="140">
        <f t="shared" si="19"/>
        <v>0</v>
      </c>
      <c r="BL31" s="140">
        <f t="shared" si="20"/>
        <v>0</v>
      </c>
      <c r="BM31" s="140">
        <f t="shared" si="21"/>
        <v>0</v>
      </c>
      <c r="BN31" s="140">
        <f t="shared" si="22"/>
        <v>0</v>
      </c>
      <c r="BO31" s="140">
        <f t="shared" si="23"/>
        <v>0</v>
      </c>
      <c r="BP31" s="140">
        <f t="shared" si="24"/>
        <v>0</v>
      </c>
      <c r="BQ31" s="140" t="e">
        <f t="shared" si="25"/>
        <v>#DIV/0!</v>
      </c>
      <c r="BR31" s="140">
        <f t="shared" si="26"/>
        <v>30</v>
      </c>
      <c r="BS31" s="141" t="e">
        <f t="shared" si="27"/>
        <v>#DIV/0!</v>
      </c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>
        <f t="shared" si="1"/>
        <v>0</v>
      </c>
      <c r="AO32" s="127">
        <f t="shared" si="1"/>
        <v>0</v>
      </c>
      <c r="AP32" s="128">
        <f t="shared" si="1"/>
        <v>0</v>
      </c>
      <c r="AQ32" s="127">
        <f t="shared" si="1"/>
        <v>0</v>
      </c>
      <c r="AR32" s="128">
        <f t="shared" si="1"/>
        <v>0</v>
      </c>
      <c r="AS32" s="160" t="e">
        <f t="shared" si="2"/>
        <v>#DIV/0!</v>
      </c>
      <c r="AT32" s="122" t="e">
        <f t="shared" si="3"/>
        <v>#DIV/0!</v>
      </c>
      <c r="AU32" s="122" t="e">
        <f t="shared" si="36"/>
        <v>#DIV/0!</v>
      </c>
      <c r="AV32" s="122" t="e">
        <f t="shared" si="5"/>
        <v>#DIV/0!</v>
      </c>
      <c r="AW32" s="122" t="e">
        <f t="shared" ref="AW32:AW38" si="45">(I32-J32)*40/H32</f>
        <v>#DIV/0!</v>
      </c>
      <c r="AX32" s="122" t="e">
        <f t="shared" ref="AX32:AX38" si="46">(K32-L32)*40/H32</f>
        <v>#DIV/0!</v>
      </c>
      <c r="AY32" s="122" t="e">
        <f t="shared" ref="AY32:AY38" si="47">(M32-N32)*40/H32</f>
        <v>#DIV/0!</v>
      </c>
      <c r="AZ32" s="161" t="e">
        <f t="shared" ref="AZ32:AZ38" si="48">(O32-P32)*40/H32</f>
        <v>#DIV/0!</v>
      </c>
      <c r="BA32" s="161" t="e">
        <f t="shared" ref="BA32:BA38" si="49">(Q32-R32)*40/H32</f>
        <v>#DIV/0!</v>
      </c>
      <c r="BB32" s="161" t="e">
        <f t="shared" ref="BB32:BB38" si="50">(S32-T32)*40/H32</f>
        <v>#DIV/0!</v>
      </c>
      <c r="BC32" s="161" t="e">
        <f t="shared" ref="BC32:BC38" si="51">(U32-V32)*40/H32</f>
        <v>#DIV/0!</v>
      </c>
      <c r="BD32" s="162" t="e">
        <f t="shared" ref="BD32:BD38" si="52">(W32-X32)*40/H32</f>
        <v>#DIV/0!</v>
      </c>
      <c r="BE32" s="179"/>
      <c r="BF32" s="139">
        <f t="shared" si="14"/>
        <v>0</v>
      </c>
      <c r="BG32" s="140">
        <f t="shared" si="15"/>
        <v>0</v>
      </c>
      <c r="BH32" s="140">
        <f t="shared" si="16"/>
        <v>0</v>
      </c>
      <c r="BI32" s="140">
        <f t="shared" si="17"/>
        <v>0</v>
      </c>
      <c r="BJ32" s="140">
        <f t="shared" si="18"/>
        <v>0</v>
      </c>
      <c r="BK32" s="140">
        <f t="shared" si="19"/>
        <v>0</v>
      </c>
      <c r="BL32" s="140">
        <f t="shared" si="20"/>
        <v>0</v>
      </c>
      <c r="BM32" s="140">
        <f t="shared" si="21"/>
        <v>0</v>
      </c>
      <c r="BN32" s="140">
        <f t="shared" si="22"/>
        <v>0</v>
      </c>
      <c r="BO32" s="140">
        <f t="shared" si="23"/>
        <v>0</v>
      </c>
      <c r="BP32" s="140">
        <f t="shared" si="24"/>
        <v>0</v>
      </c>
      <c r="BQ32" s="140" t="e">
        <f t="shared" si="25"/>
        <v>#DIV/0!</v>
      </c>
      <c r="BR32" s="140">
        <f t="shared" si="26"/>
        <v>30</v>
      </c>
      <c r="BS32" s="141" t="e">
        <f t="shared" si="27"/>
        <v>#DIV/0!</v>
      </c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>
        <f t="shared" si="1"/>
        <v>0</v>
      </c>
      <c r="AO33" s="127">
        <f t="shared" si="1"/>
        <v>0</v>
      </c>
      <c r="AP33" s="128">
        <f t="shared" si="1"/>
        <v>0</v>
      </c>
      <c r="AQ33" s="127">
        <f t="shared" si="1"/>
        <v>0</v>
      </c>
      <c r="AR33" s="128">
        <f t="shared" si="1"/>
        <v>0</v>
      </c>
      <c r="AS33" s="160" t="e">
        <f t="shared" si="2"/>
        <v>#DIV/0!</v>
      </c>
      <c r="AT33" s="122" t="e">
        <f t="shared" si="3"/>
        <v>#DIV/0!</v>
      </c>
      <c r="AU33" s="122" t="e">
        <f t="shared" si="36"/>
        <v>#DIV/0!</v>
      </c>
      <c r="AV33" s="122" t="e">
        <f t="shared" si="5"/>
        <v>#DIV/0!</v>
      </c>
      <c r="AW33" s="122" t="e">
        <f t="shared" si="45"/>
        <v>#DIV/0!</v>
      </c>
      <c r="AX33" s="122" t="e">
        <f t="shared" si="46"/>
        <v>#DIV/0!</v>
      </c>
      <c r="AY33" s="122" t="e">
        <f t="shared" si="47"/>
        <v>#DIV/0!</v>
      </c>
      <c r="AZ33" s="161" t="e">
        <f t="shared" si="48"/>
        <v>#DIV/0!</v>
      </c>
      <c r="BA33" s="161" t="e">
        <f t="shared" si="49"/>
        <v>#DIV/0!</v>
      </c>
      <c r="BB33" s="161" t="e">
        <f t="shared" si="50"/>
        <v>#DIV/0!</v>
      </c>
      <c r="BC33" s="161" t="e">
        <f t="shared" si="51"/>
        <v>#DIV/0!</v>
      </c>
      <c r="BD33" s="162" t="e">
        <f t="shared" si="52"/>
        <v>#DIV/0!</v>
      </c>
      <c r="BE33" s="179"/>
      <c r="BF33" s="139">
        <f t="shared" si="14"/>
        <v>0</v>
      </c>
      <c r="BG33" s="140">
        <f t="shared" si="15"/>
        <v>0</v>
      </c>
      <c r="BH33" s="140">
        <f t="shared" si="16"/>
        <v>0</v>
      </c>
      <c r="BI33" s="140">
        <f t="shared" si="17"/>
        <v>0</v>
      </c>
      <c r="BJ33" s="140">
        <f t="shared" si="18"/>
        <v>0</v>
      </c>
      <c r="BK33" s="140">
        <f t="shared" si="19"/>
        <v>0</v>
      </c>
      <c r="BL33" s="140">
        <f t="shared" si="20"/>
        <v>0</v>
      </c>
      <c r="BM33" s="140">
        <f t="shared" si="21"/>
        <v>0</v>
      </c>
      <c r="BN33" s="140">
        <f t="shared" si="22"/>
        <v>0</v>
      </c>
      <c r="BO33" s="140">
        <f t="shared" si="23"/>
        <v>0</v>
      </c>
      <c r="BP33" s="140">
        <f t="shared" si="24"/>
        <v>0</v>
      </c>
      <c r="BQ33" s="140" t="e">
        <f t="shared" si="25"/>
        <v>#DIV/0!</v>
      </c>
      <c r="BR33" s="140">
        <f t="shared" si="26"/>
        <v>30</v>
      </c>
      <c r="BS33" s="141" t="e">
        <f t="shared" si="27"/>
        <v>#DIV/0!</v>
      </c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>
        <f t="shared" si="1"/>
        <v>0</v>
      </c>
      <c r="AO34" s="127">
        <f t="shared" si="1"/>
        <v>0</v>
      </c>
      <c r="AP34" s="128">
        <f t="shared" si="1"/>
        <v>0</v>
      </c>
      <c r="AQ34" s="127">
        <f t="shared" si="1"/>
        <v>0</v>
      </c>
      <c r="AR34" s="128">
        <f t="shared" si="1"/>
        <v>0</v>
      </c>
      <c r="AS34" s="160" t="e">
        <f t="shared" si="2"/>
        <v>#DIV/0!</v>
      </c>
      <c r="AT34" s="122" t="e">
        <f t="shared" si="3"/>
        <v>#DIV/0!</v>
      </c>
      <c r="AU34" s="122" t="e">
        <f t="shared" si="36"/>
        <v>#DIV/0!</v>
      </c>
      <c r="AV34" s="122" t="e">
        <f t="shared" si="5"/>
        <v>#DIV/0!</v>
      </c>
      <c r="AW34" s="122" t="e">
        <f t="shared" si="45"/>
        <v>#DIV/0!</v>
      </c>
      <c r="AX34" s="122" t="e">
        <f t="shared" si="46"/>
        <v>#DIV/0!</v>
      </c>
      <c r="AY34" s="122" t="e">
        <f t="shared" si="47"/>
        <v>#DIV/0!</v>
      </c>
      <c r="AZ34" s="161" t="e">
        <f t="shared" si="48"/>
        <v>#DIV/0!</v>
      </c>
      <c r="BA34" s="161" t="e">
        <f t="shared" si="49"/>
        <v>#DIV/0!</v>
      </c>
      <c r="BB34" s="161" t="e">
        <f t="shared" si="50"/>
        <v>#DIV/0!</v>
      </c>
      <c r="BC34" s="161" t="e">
        <f t="shared" si="51"/>
        <v>#DIV/0!</v>
      </c>
      <c r="BD34" s="162" t="e">
        <f t="shared" si="52"/>
        <v>#DIV/0!</v>
      </c>
      <c r="BE34" s="179"/>
      <c r="BF34" s="139">
        <f t="shared" si="14"/>
        <v>0</v>
      </c>
      <c r="BG34" s="140">
        <f t="shared" si="15"/>
        <v>0</v>
      </c>
      <c r="BH34" s="140">
        <f t="shared" si="16"/>
        <v>0</v>
      </c>
      <c r="BI34" s="140">
        <f t="shared" si="17"/>
        <v>0</v>
      </c>
      <c r="BJ34" s="140">
        <f t="shared" si="18"/>
        <v>0</v>
      </c>
      <c r="BK34" s="140">
        <f t="shared" si="19"/>
        <v>0</v>
      </c>
      <c r="BL34" s="140">
        <f t="shared" si="20"/>
        <v>0</v>
      </c>
      <c r="BM34" s="140">
        <f t="shared" si="21"/>
        <v>0</v>
      </c>
      <c r="BN34" s="140">
        <f t="shared" si="22"/>
        <v>0</v>
      </c>
      <c r="BO34" s="140">
        <f t="shared" si="23"/>
        <v>0</v>
      </c>
      <c r="BP34" s="140">
        <f t="shared" si="24"/>
        <v>0</v>
      </c>
      <c r="BQ34" s="140" t="e">
        <f t="shared" si="25"/>
        <v>#DIV/0!</v>
      </c>
      <c r="BR34" s="140">
        <f t="shared" si="26"/>
        <v>30</v>
      </c>
      <c r="BS34" s="141" t="e">
        <f t="shared" si="27"/>
        <v>#DIV/0!</v>
      </c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>
        <f t="shared" si="1"/>
        <v>0</v>
      </c>
      <c r="AO35" s="127">
        <f t="shared" si="1"/>
        <v>0</v>
      </c>
      <c r="AP35" s="128">
        <f t="shared" si="1"/>
        <v>0</v>
      </c>
      <c r="AQ35" s="127">
        <f t="shared" si="1"/>
        <v>0</v>
      </c>
      <c r="AR35" s="128">
        <f t="shared" si="1"/>
        <v>0</v>
      </c>
      <c r="AS35" s="160" t="e">
        <f t="shared" si="2"/>
        <v>#DIV/0!</v>
      </c>
      <c r="AT35" s="122" t="e">
        <f t="shared" si="3"/>
        <v>#DIV/0!</v>
      </c>
      <c r="AU35" s="122" t="e">
        <f t="shared" si="36"/>
        <v>#DIV/0!</v>
      </c>
      <c r="AV35" s="122" t="e">
        <f t="shared" si="5"/>
        <v>#DIV/0!</v>
      </c>
      <c r="AW35" s="122" t="e">
        <f t="shared" si="45"/>
        <v>#DIV/0!</v>
      </c>
      <c r="AX35" s="122" t="e">
        <f t="shared" si="46"/>
        <v>#DIV/0!</v>
      </c>
      <c r="AY35" s="122" t="e">
        <f t="shared" si="47"/>
        <v>#DIV/0!</v>
      </c>
      <c r="AZ35" s="161" t="e">
        <f t="shared" si="48"/>
        <v>#DIV/0!</v>
      </c>
      <c r="BA35" s="161" t="e">
        <f t="shared" si="49"/>
        <v>#DIV/0!</v>
      </c>
      <c r="BB35" s="161" t="e">
        <f t="shared" si="50"/>
        <v>#DIV/0!</v>
      </c>
      <c r="BC35" s="161" t="e">
        <f t="shared" si="51"/>
        <v>#DIV/0!</v>
      </c>
      <c r="BD35" s="162" t="e">
        <f t="shared" si="52"/>
        <v>#DIV/0!</v>
      </c>
      <c r="BE35" s="179"/>
      <c r="BF35" s="139">
        <f t="shared" si="14"/>
        <v>0</v>
      </c>
      <c r="BG35" s="140">
        <f t="shared" si="15"/>
        <v>0</v>
      </c>
      <c r="BH35" s="140">
        <f t="shared" si="16"/>
        <v>0</v>
      </c>
      <c r="BI35" s="140">
        <f t="shared" si="17"/>
        <v>0</v>
      </c>
      <c r="BJ35" s="140">
        <f t="shared" si="18"/>
        <v>0</v>
      </c>
      <c r="BK35" s="140">
        <f t="shared" si="19"/>
        <v>0</v>
      </c>
      <c r="BL35" s="140">
        <f t="shared" si="20"/>
        <v>0</v>
      </c>
      <c r="BM35" s="140">
        <f t="shared" si="21"/>
        <v>0</v>
      </c>
      <c r="BN35" s="140">
        <f t="shared" si="22"/>
        <v>0</v>
      </c>
      <c r="BO35" s="140">
        <f t="shared" si="23"/>
        <v>0</v>
      </c>
      <c r="BP35" s="140">
        <f t="shared" si="24"/>
        <v>0</v>
      </c>
      <c r="BQ35" s="140" t="e">
        <f t="shared" si="25"/>
        <v>#DIV/0!</v>
      </c>
      <c r="BR35" s="140">
        <f t="shared" si="26"/>
        <v>30</v>
      </c>
      <c r="BS35" s="141" t="e">
        <f t="shared" si="27"/>
        <v>#DIV/0!</v>
      </c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>
        <f t="shared" si="1"/>
        <v>0</v>
      </c>
      <c r="AO36" s="127">
        <f t="shared" si="1"/>
        <v>0</v>
      </c>
      <c r="AP36" s="128">
        <f t="shared" si="1"/>
        <v>0</v>
      </c>
      <c r="AQ36" s="127">
        <f t="shared" si="1"/>
        <v>0</v>
      </c>
      <c r="AR36" s="128">
        <f t="shared" si="1"/>
        <v>0</v>
      </c>
      <c r="AS36" s="160" t="e">
        <f t="shared" si="2"/>
        <v>#DIV/0!</v>
      </c>
      <c r="AT36" s="122" t="e">
        <f t="shared" si="3"/>
        <v>#DIV/0!</v>
      </c>
      <c r="AU36" s="122" t="e">
        <f t="shared" si="36"/>
        <v>#DIV/0!</v>
      </c>
      <c r="AV36" s="122" t="e">
        <f t="shared" si="5"/>
        <v>#DIV/0!</v>
      </c>
      <c r="AW36" s="122" t="e">
        <f t="shared" si="45"/>
        <v>#DIV/0!</v>
      </c>
      <c r="AX36" s="122" t="e">
        <f t="shared" si="46"/>
        <v>#DIV/0!</v>
      </c>
      <c r="AY36" s="122" t="e">
        <f t="shared" si="47"/>
        <v>#DIV/0!</v>
      </c>
      <c r="AZ36" s="161" t="e">
        <f t="shared" si="48"/>
        <v>#DIV/0!</v>
      </c>
      <c r="BA36" s="161" t="e">
        <f t="shared" si="49"/>
        <v>#DIV/0!</v>
      </c>
      <c r="BB36" s="161" t="e">
        <f t="shared" si="50"/>
        <v>#DIV/0!</v>
      </c>
      <c r="BC36" s="161" t="e">
        <f t="shared" si="51"/>
        <v>#DIV/0!</v>
      </c>
      <c r="BD36" s="162" t="e">
        <f t="shared" si="52"/>
        <v>#DIV/0!</v>
      </c>
      <c r="BE36" s="179"/>
      <c r="BF36" s="139">
        <f t="shared" si="14"/>
        <v>0</v>
      </c>
      <c r="BG36" s="140">
        <f t="shared" si="15"/>
        <v>0</v>
      </c>
      <c r="BH36" s="140">
        <f t="shared" si="16"/>
        <v>0</v>
      </c>
      <c r="BI36" s="140">
        <f t="shared" si="17"/>
        <v>0</v>
      </c>
      <c r="BJ36" s="140">
        <f t="shared" si="18"/>
        <v>0</v>
      </c>
      <c r="BK36" s="140">
        <f t="shared" si="19"/>
        <v>0</v>
      </c>
      <c r="BL36" s="140">
        <f t="shared" si="20"/>
        <v>0</v>
      </c>
      <c r="BM36" s="140">
        <f t="shared" si="21"/>
        <v>0</v>
      </c>
      <c r="BN36" s="140">
        <f t="shared" si="22"/>
        <v>0</v>
      </c>
      <c r="BO36" s="140">
        <f t="shared" si="23"/>
        <v>0</v>
      </c>
      <c r="BP36" s="140">
        <f t="shared" si="24"/>
        <v>0</v>
      </c>
      <c r="BQ36" s="140" t="e">
        <f t="shared" si="25"/>
        <v>#DIV/0!</v>
      </c>
      <c r="BR36" s="140">
        <f t="shared" si="26"/>
        <v>30</v>
      </c>
      <c r="BS36" s="141" t="e">
        <f t="shared" si="27"/>
        <v>#DIV/0!</v>
      </c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>
        <f t="shared" si="1"/>
        <v>0</v>
      </c>
      <c r="AO37" s="127">
        <f t="shared" si="1"/>
        <v>0</v>
      </c>
      <c r="AP37" s="128">
        <f t="shared" si="1"/>
        <v>0</v>
      </c>
      <c r="AQ37" s="127">
        <f t="shared" si="1"/>
        <v>0</v>
      </c>
      <c r="AR37" s="128">
        <f t="shared" si="1"/>
        <v>0</v>
      </c>
      <c r="AS37" s="160" t="e">
        <f t="shared" si="2"/>
        <v>#DIV/0!</v>
      </c>
      <c r="AT37" s="122" t="e">
        <f t="shared" si="3"/>
        <v>#DIV/0!</v>
      </c>
      <c r="AU37" s="122" t="e">
        <f t="shared" si="36"/>
        <v>#DIV/0!</v>
      </c>
      <c r="AV37" s="122" t="e">
        <f t="shared" si="5"/>
        <v>#DIV/0!</v>
      </c>
      <c r="AW37" s="122" t="e">
        <f t="shared" si="45"/>
        <v>#DIV/0!</v>
      </c>
      <c r="AX37" s="122" t="e">
        <f t="shared" si="46"/>
        <v>#DIV/0!</v>
      </c>
      <c r="AY37" s="122" t="e">
        <f t="shared" si="47"/>
        <v>#DIV/0!</v>
      </c>
      <c r="AZ37" s="161" t="e">
        <f t="shared" si="48"/>
        <v>#DIV/0!</v>
      </c>
      <c r="BA37" s="161" t="e">
        <f t="shared" si="49"/>
        <v>#DIV/0!</v>
      </c>
      <c r="BB37" s="161" t="e">
        <f t="shared" si="50"/>
        <v>#DIV/0!</v>
      </c>
      <c r="BC37" s="161" t="e">
        <f t="shared" si="51"/>
        <v>#DIV/0!</v>
      </c>
      <c r="BD37" s="162" t="e">
        <f t="shared" si="52"/>
        <v>#DIV/0!</v>
      </c>
      <c r="BE37" s="179"/>
      <c r="BF37" s="139">
        <f t="shared" si="14"/>
        <v>0</v>
      </c>
      <c r="BG37" s="140">
        <f t="shared" si="15"/>
        <v>0</v>
      </c>
      <c r="BH37" s="140">
        <f t="shared" si="16"/>
        <v>0</v>
      </c>
      <c r="BI37" s="140">
        <f t="shared" si="17"/>
        <v>0</v>
      </c>
      <c r="BJ37" s="140">
        <f t="shared" si="18"/>
        <v>0</v>
      </c>
      <c r="BK37" s="140">
        <f t="shared" si="19"/>
        <v>0</v>
      </c>
      <c r="BL37" s="140">
        <f t="shared" si="20"/>
        <v>0</v>
      </c>
      <c r="BM37" s="140">
        <f t="shared" si="21"/>
        <v>0</v>
      </c>
      <c r="BN37" s="140">
        <f t="shared" si="22"/>
        <v>0</v>
      </c>
      <c r="BO37" s="140">
        <f t="shared" si="23"/>
        <v>0</v>
      </c>
      <c r="BP37" s="140">
        <f t="shared" si="24"/>
        <v>0</v>
      </c>
      <c r="BQ37" s="140" t="e">
        <f t="shared" si="25"/>
        <v>#DIV/0!</v>
      </c>
      <c r="BR37" s="140">
        <f t="shared" si="26"/>
        <v>30</v>
      </c>
      <c r="BS37" s="141" t="e">
        <f t="shared" si="27"/>
        <v>#DIV/0!</v>
      </c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90"/>
      <c r="G38" s="191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96">
        <f t="shared" si="1"/>
        <v>0</v>
      </c>
      <c r="AO38" s="197">
        <f t="shared" si="1"/>
        <v>0</v>
      </c>
      <c r="AP38" s="198">
        <f t="shared" si="1"/>
        <v>0</v>
      </c>
      <c r="AQ38" s="197">
        <f t="shared" si="1"/>
        <v>0</v>
      </c>
      <c r="AR38" s="198">
        <f t="shared" si="1"/>
        <v>0</v>
      </c>
      <c r="AS38" s="167" t="e">
        <f t="shared" si="2"/>
        <v>#DIV/0!</v>
      </c>
      <c r="AT38" s="168" t="e">
        <f t="shared" si="3"/>
        <v>#DIV/0!</v>
      </c>
      <c r="AU38" s="168" t="e">
        <f t="shared" si="36"/>
        <v>#DIV/0!</v>
      </c>
      <c r="AV38" s="168" t="e">
        <f t="shared" si="5"/>
        <v>#DIV/0!</v>
      </c>
      <c r="AW38" s="168" t="e">
        <f t="shared" si="45"/>
        <v>#DIV/0!</v>
      </c>
      <c r="AX38" s="168" t="e">
        <f t="shared" si="46"/>
        <v>#DIV/0!</v>
      </c>
      <c r="AY38" s="168" t="e">
        <f t="shared" si="47"/>
        <v>#DIV/0!</v>
      </c>
      <c r="AZ38" s="169" t="e">
        <f t="shared" si="48"/>
        <v>#DIV/0!</v>
      </c>
      <c r="BA38" s="169" t="e">
        <f t="shared" si="49"/>
        <v>#DIV/0!</v>
      </c>
      <c r="BB38" s="169" t="e">
        <f t="shared" si="50"/>
        <v>#DIV/0!</v>
      </c>
      <c r="BC38" s="169" t="e">
        <f t="shared" si="51"/>
        <v>#DIV/0!</v>
      </c>
      <c r="BD38" s="170" t="e">
        <f t="shared" si="52"/>
        <v>#DIV/0!</v>
      </c>
      <c r="BE38" s="179"/>
      <c r="BF38" s="172">
        <f t="shared" si="14"/>
        <v>0</v>
      </c>
      <c r="BG38" s="173">
        <f t="shared" si="15"/>
        <v>0</v>
      </c>
      <c r="BH38" s="173">
        <f t="shared" si="16"/>
        <v>0</v>
      </c>
      <c r="BI38" s="173">
        <f t="shared" si="17"/>
        <v>0</v>
      </c>
      <c r="BJ38" s="173">
        <f t="shared" si="18"/>
        <v>0</v>
      </c>
      <c r="BK38" s="173">
        <f t="shared" si="19"/>
        <v>0</v>
      </c>
      <c r="BL38" s="173">
        <f t="shared" si="20"/>
        <v>0</v>
      </c>
      <c r="BM38" s="173">
        <f t="shared" si="21"/>
        <v>0</v>
      </c>
      <c r="BN38" s="173">
        <f t="shared" si="22"/>
        <v>0</v>
      </c>
      <c r="BO38" s="173">
        <f t="shared" si="23"/>
        <v>0</v>
      </c>
      <c r="BP38" s="173">
        <f t="shared" si="24"/>
        <v>0</v>
      </c>
      <c r="BQ38" s="173" t="e">
        <f t="shared" si="25"/>
        <v>#DIV/0!</v>
      </c>
      <c r="BR38" s="173">
        <f t="shared" si="26"/>
        <v>30</v>
      </c>
      <c r="BS38" s="174" t="e">
        <f t="shared" si="27"/>
        <v>#DIV/0!</v>
      </c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  <colBreaks count="2" manualBreakCount="2">
    <brk id="39" max="39" man="1"/>
    <brk id="57" max="3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zoomScaleNormal="100" zoomScaleSheetLayoutView="90" workbookViewId="0">
      <selection activeCell="A2" sqref="A2"/>
    </sheetView>
  </sheetViews>
  <sheetFormatPr defaultColWidth="9" defaultRowHeight="14" x14ac:dyDescent="0.3"/>
  <cols>
    <col min="1" max="1" width="7.6328125" style="65" customWidth="1"/>
    <col min="2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102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533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市原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534</v>
      </c>
      <c r="C4" s="85"/>
      <c r="D4" s="75"/>
      <c r="E4" s="75" t="s">
        <v>107</v>
      </c>
      <c r="F4" s="86" t="s">
        <v>535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千葉県</v>
      </c>
      <c r="AP4" s="81"/>
      <c r="AQ4" s="75"/>
      <c r="AR4" s="75" t="str">
        <f>E4</f>
        <v>担当者：</v>
      </c>
      <c r="AS4" s="75" t="str">
        <f>F4</f>
        <v>内藤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S6" s="89" t="s">
        <v>536</v>
      </c>
      <c r="AW6" s="71"/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43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142</v>
      </c>
      <c r="J9" s="733"/>
      <c r="K9" s="732" t="s">
        <v>143</v>
      </c>
      <c r="L9" s="733"/>
      <c r="M9" s="732" t="s">
        <v>144</v>
      </c>
      <c r="N9" s="733"/>
      <c r="O9" s="732" t="s">
        <v>145</v>
      </c>
      <c r="P9" s="733"/>
      <c r="Q9" s="732" t="s">
        <v>146</v>
      </c>
      <c r="R9" s="733"/>
      <c r="S9" s="732" t="s">
        <v>147</v>
      </c>
      <c r="T9" s="733"/>
      <c r="U9" s="732" t="s">
        <v>264</v>
      </c>
      <c r="V9" s="733"/>
      <c r="W9" s="732" t="s">
        <v>265</v>
      </c>
      <c r="X9" s="733"/>
      <c r="Y9" s="732" t="s">
        <v>142</v>
      </c>
      <c r="Z9" s="733"/>
      <c r="AA9" s="732" t="s">
        <v>143</v>
      </c>
      <c r="AB9" s="733"/>
      <c r="AC9" s="732" t="s">
        <v>144</v>
      </c>
      <c r="AD9" s="733"/>
      <c r="AE9" s="732" t="s">
        <v>145</v>
      </c>
      <c r="AF9" s="733"/>
      <c r="AG9" s="732" t="s">
        <v>142</v>
      </c>
      <c r="AH9" s="733"/>
      <c r="AI9" s="732" t="s">
        <v>144</v>
      </c>
      <c r="AJ9" s="733"/>
      <c r="AK9" s="732" t="s">
        <v>145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266</v>
      </c>
      <c r="BF9" s="724" t="s">
        <v>142</v>
      </c>
      <c r="BG9" s="718" t="s">
        <v>143</v>
      </c>
      <c r="BH9" s="718" t="s">
        <v>144</v>
      </c>
      <c r="BI9" s="718" t="s">
        <v>145</v>
      </c>
      <c r="BJ9" s="718" t="s">
        <v>146</v>
      </c>
      <c r="BK9" s="718" t="s">
        <v>147</v>
      </c>
      <c r="BL9" s="718" t="s">
        <v>148</v>
      </c>
      <c r="BM9" s="720" t="s">
        <v>266</v>
      </c>
      <c r="BN9" s="103" t="s">
        <v>267</v>
      </c>
      <c r="BO9" s="103" t="s">
        <v>268</v>
      </c>
      <c r="BP9" s="103" t="s">
        <v>269</v>
      </c>
      <c r="BQ9" s="103" t="s">
        <v>270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271</v>
      </c>
      <c r="G10" s="108" t="s">
        <v>272</v>
      </c>
      <c r="H10" s="108" t="s">
        <v>272</v>
      </c>
      <c r="I10" s="109" t="s">
        <v>273</v>
      </c>
      <c r="J10" s="109" t="s">
        <v>274</v>
      </c>
      <c r="K10" s="109" t="s">
        <v>273</v>
      </c>
      <c r="L10" s="109" t="s">
        <v>274</v>
      </c>
      <c r="M10" s="109" t="s">
        <v>273</v>
      </c>
      <c r="N10" s="109" t="s">
        <v>274</v>
      </c>
      <c r="O10" s="109" t="s">
        <v>273</v>
      </c>
      <c r="P10" s="109" t="s">
        <v>274</v>
      </c>
      <c r="Q10" s="109" t="s">
        <v>273</v>
      </c>
      <c r="R10" s="109" t="s">
        <v>274</v>
      </c>
      <c r="S10" s="109" t="s">
        <v>273</v>
      </c>
      <c r="T10" s="109" t="s">
        <v>274</v>
      </c>
      <c r="U10" s="109" t="s">
        <v>273</v>
      </c>
      <c r="V10" s="109" t="s">
        <v>274</v>
      </c>
      <c r="W10" s="109" t="s">
        <v>273</v>
      </c>
      <c r="X10" s="109" t="s">
        <v>274</v>
      </c>
      <c r="Y10" s="109" t="s">
        <v>273</v>
      </c>
      <c r="Z10" s="109" t="s">
        <v>274</v>
      </c>
      <c r="AA10" s="109" t="s">
        <v>273</v>
      </c>
      <c r="AB10" s="109" t="s">
        <v>274</v>
      </c>
      <c r="AC10" s="109" t="s">
        <v>273</v>
      </c>
      <c r="AD10" s="109" t="s">
        <v>274</v>
      </c>
      <c r="AE10" s="109" t="s">
        <v>273</v>
      </c>
      <c r="AF10" s="109" t="s">
        <v>274</v>
      </c>
      <c r="AG10" s="109" t="s">
        <v>273</v>
      </c>
      <c r="AH10" s="109" t="s">
        <v>274</v>
      </c>
      <c r="AI10" s="109" t="s">
        <v>273</v>
      </c>
      <c r="AJ10" s="109" t="s">
        <v>274</v>
      </c>
      <c r="AK10" s="109" t="s">
        <v>273</v>
      </c>
      <c r="AL10" s="110" t="s">
        <v>274</v>
      </c>
      <c r="AM10" s="111"/>
      <c r="AN10" s="105"/>
      <c r="AO10" s="112" t="s">
        <v>275</v>
      </c>
      <c r="AP10" s="113" t="s">
        <v>276</v>
      </c>
      <c r="AQ10" s="112" t="s">
        <v>275</v>
      </c>
      <c r="AR10" s="113" t="s">
        <v>276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25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>
        <v>1</v>
      </c>
      <c r="B11" s="118">
        <v>42212</v>
      </c>
      <c r="C11" s="119">
        <v>0.41666666666666669</v>
      </c>
      <c r="D11" s="118">
        <v>42213</v>
      </c>
      <c r="E11" s="119">
        <v>0.41666666666666669</v>
      </c>
      <c r="F11" s="120">
        <v>20</v>
      </c>
      <c r="G11" s="121">
        <v>3.06</v>
      </c>
      <c r="H11" s="122">
        <f t="shared" ref="H11:H17" si="0">G11*(20+273)/(F11+273)</f>
        <v>3.06</v>
      </c>
      <c r="I11" s="123">
        <v>3.3588079999999998</v>
      </c>
      <c r="J11" s="120"/>
      <c r="K11" s="120">
        <v>1.752715</v>
      </c>
      <c r="L11" s="120"/>
      <c r="M11" s="120">
        <v>1.6355900000000001</v>
      </c>
      <c r="N11" s="120"/>
      <c r="O11" s="120">
        <v>0.75436700000000001</v>
      </c>
      <c r="P11" s="120"/>
      <c r="Q11" s="120">
        <v>1.307517</v>
      </c>
      <c r="R11" s="120"/>
      <c r="S11" s="120">
        <v>5.9088000000000002E-2</v>
      </c>
      <c r="T11" s="120"/>
      <c r="U11" s="120">
        <v>0.13084899999999999</v>
      </c>
      <c r="V11" s="120"/>
      <c r="W11" s="120">
        <v>0.79641200000000001</v>
      </c>
      <c r="X11" s="120"/>
      <c r="Y11" s="120">
        <v>0.78365399999999996</v>
      </c>
      <c r="Z11" s="120"/>
      <c r="AA11" s="120">
        <v>1.2189890000000001</v>
      </c>
      <c r="AB11" s="120"/>
      <c r="AC11" s="120">
        <v>1.097448</v>
      </c>
      <c r="AD11" s="120"/>
      <c r="AE11" s="120">
        <v>0.294964</v>
      </c>
      <c r="AF11" s="120"/>
      <c r="AG11" s="120">
        <v>5.9902889999999998</v>
      </c>
      <c r="AH11" s="120"/>
      <c r="AI11" s="120">
        <v>0.20882899999999999</v>
      </c>
      <c r="AJ11" s="120"/>
      <c r="AK11" s="120">
        <v>1.26932</v>
      </c>
      <c r="AL11" s="124"/>
      <c r="AM11" s="125"/>
      <c r="AN11" s="126">
        <f t="shared" ref="AN11:AR38" si="1">A11</f>
        <v>1</v>
      </c>
      <c r="AO11" s="127">
        <f t="shared" si="1"/>
        <v>42212</v>
      </c>
      <c r="AP11" s="128">
        <f t="shared" si="1"/>
        <v>0.41666666666666669</v>
      </c>
      <c r="AQ11" s="127">
        <f t="shared" si="1"/>
        <v>42213</v>
      </c>
      <c r="AR11" s="128">
        <f t="shared" si="1"/>
        <v>0.41666666666666669</v>
      </c>
      <c r="AS11" s="129">
        <f t="shared" ref="AS11:AS17" si="2">1000/96.06*(Y11-Z11+AG11-AH11)*10/H11</f>
        <v>230.45043334843828</v>
      </c>
      <c r="AT11" s="130">
        <f t="shared" ref="AT11:AT17" si="3">1000/62.01*(AA11-AB11)*10/H11</f>
        <v>64.241641396654344</v>
      </c>
      <c r="AU11" s="130">
        <f t="shared" ref="AU11:AU17" si="4">1000/35.45*(AC11-AD11+AI11-AJ11)*10/H11</f>
        <v>120.41972030937433</v>
      </c>
      <c r="AV11" s="131">
        <f t="shared" ref="AV11:AV17" si="5">1000/18.04*(AE11-AF11+AK11-AL11)*10/H11</f>
        <v>283.37246206686672</v>
      </c>
      <c r="AW11" s="132">
        <f t="shared" ref="AW11:AW17" si="6">1000/96.06*(I11-J11)*10/H11</f>
        <v>114.26709069358884</v>
      </c>
      <c r="AX11" s="132">
        <f t="shared" ref="AX11:AX17" si="7">1000/62.01*(K11-L11)*10/H11</f>
        <v>92.369404892527356</v>
      </c>
      <c r="AY11" s="132">
        <f t="shared" ref="AY11:AY17" si="8">1000/35.45*(M11-N11)*10/H11</f>
        <v>150.7775841883533</v>
      </c>
      <c r="AZ11" s="133">
        <f t="shared" ref="AZ11:AZ17" si="9">1000/18.04*(O11-P11)*10/H11</f>
        <v>136.65474689506254</v>
      </c>
      <c r="BA11" s="133">
        <f t="shared" ref="BA11:BA17" si="10">1000/22.99*(Q11-R11)*10/H11</f>
        <v>185.86043377768684</v>
      </c>
      <c r="BB11" s="133">
        <f t="shared" ref="BB11:BB17" si="11">1000/39.1*(S11-T11)*10/H11</f>
        <v>4.9385687778947895</v>
      </c>
      <c r="BC11" s="133">
        <f t="shared" ref="BC11:BC17" si="12">1000/24.31*(U11-V11)*10/H11</f>
        <v>17.589926413455824</v>
      </c>
      <c r="BD11" s="134">
        <f t="shared" ref="BD11:BD17" si="13">1000/40*(W11-X11)*10/H11</f>
        <v>65.066339869281052</v>
      </c>
      <c r="BF11" s="135">
        <f t="shared" ref="BF11:BF38" si="14">(I11-J11)/48.03*1000</f>
        <v>69.931459504476365</v>
      </c>
      <c r="BG11" s="136">
        <f t="shared" ref="BG11:BG38" si="15">(K11-L11)/62.01*1000</f>
        <v>28.26503789711337</v>
      </c>
      <c r="BH11" s="136">
        <f t="shared" ref="BH11:BH38" si="16">(M11-N11)/35.45*1000</f>
        <v>46.137940761636102</v>
      </c>
      <c r="BI11" s="136">
        <f t="shared" ref="BI11:BI38" si="17">(O11-P11)/18.04*1000</f>
        <v>41.816352549889132</v>
      </c>
      <c r="BJ11" s="136">
        <f t="shared" ref="BJ11:BJ38" si="18">(Q11-R11)/22.99*1000</f>
        <v>56.873292735972164</v>
      </c>
      <c r="BK11" s="136">
        <f t="shared" ref="BK11:BK38" si="19">(S11-T11)/39.1*1000</f>
        <v>1.5112020460358058</v>
      </c>
      <c r="BL11" s="136">
        <f t="shared" ref="BL11:BL38" si="20">(U11-V11)/12.16*1000</f>
        <v>10.760608552631579</v>
      </c>
      <c r="BM11" s="136">
        <f t="shared" ref="BM11:BM38" si="21">(W11-X11)/20.04*1000</f>
        <v>39.741117764471063</v>
      </c>
      <c r="BN11" s="136">
        <f t="shared" ref="BN11:BN38" si="22">SUM(BF11:BH11)</f>
        <v>144.33443816322585</v>
      </c>
      <c r="BO11" s="136">
        <f t="shared" ref="BO11:BO38" si="23">SUM(BI11:BM11)</f>
        <v>150.70257364899976</v>
      </c>
      <c r="BP11" s="136">
        <f t="shared" ref="BP11:BP38" si="24">BN11+BO11</f>
        <v>295.03701181222561</v>
      </c>
      <c r="BQ11" s="136">
        <f t="shared" ref="BQ11:BQ38" si="25">(BO11-BN11)/BP11*100</f>
        <v>2.1584191917680022</v>
      </c>
      <c r="BR11" s="136">
        <f t="shared" ref="BR11:BR38" si="26">IF(BP11&lt;50,30,IF(BP11&lt;=100,15,8))</f>
        <v>8</v>
      </c>
      <c r="BS11" s="137" t="str">
        <f t="shared" ref="BS11:BS38" si="27">IF(ABS(BQ11)&lt;BR11,"○","×")</f>
        <v>○</v>
      </c>
    </row>
    <row r="12" spans="1:71" s="72" customFormat="1" ht="15" customHeight="1" x14ac:dyDescent="0.3">
      <c r="A12" s="117">
        <v>2</v>
      </c>
      <c r="B12" s="118">
        <v>42213</v>
      </c>
      <c r="C12" s="119">
        <v>0.41666666666666669</v>
      </c>
      <c r="D12" s="118">
        <v>42214</v>
      </c>
      <c r="E12" s="119">
        <v>0.41666666666666669</v>
      </c>
      <c r="F12" s="120">
        <v>20</v>
      </c>
      <c r="G12" s="121">
        <v>2.9380000000000002</v>
      </c>
      <c r="H12" s="122">
        <f t="shared" si="0"/>
        <v>2.9380000000000002</v>
      </c>
      <c r="I12" s="123">
        <v>5.0802110000000003</v>
      </c>
      <c r="J12" s="120"/>
      <c r="K12" s="120">
        <v>1.683819</v>
      </c>
      <c r="L12" s="120"/>
      <c r="M12" s="120">
        <v>0.22084100000000001</v>
      </c>
      <c r="N12" s="120"/>
      <c r="O12" s="120">
        <v>1.4376819999999999</v>
      </c>
      <c r="P12" s="120"/>
      <c r="Q12" s="120">
        <v>0.51002700000000001</v>
      </c>
      <c r="R12" s="120"/>
      <c r="S12" s="120">
        <v>5.7508999999999998E-2</v>
      </c>
      <c r="T12" s="120"/>
      <c r="U12" s="120">
        <v>8.5266999999999996E-2</v>
      </c>
      <c r="V12" s="120"/>
      <c r="W12" s="120">
        <v>0.221746</v>
      </c>
      <c r="X12" s="120"/>
      <c r="Y12" s="120">
        <v>0.69703700000000002</v>
      </c>
      <c r="Z12" s="120"/>
      <c r="AA12" s="120">
        <v>1.0628550000000001</v>
      </c>
      <c r="AB12" s="120"/>
      <c r="AC12" s="120">
        <v>1.13141</v>
      </c>
      <c r="AD12" s="120"/>
      <c r="AE12" s="120">
        <v>0.30130800000000002</v>
      </c>
      <c r="AF12" s="120"/>
      <c r="AG12" s="120">
        <v>3.6820569999999999</v>
      </c>
      <c r="AH12" s="120"/>
      <c r="AI12" s="120">
        <v>0.24666099999999999</v>
      </c>
      <c r="AJ12" s="120"/>
      <c r="AK12" s="120">
        <v>2.9966010000000001</v>
      </c>
      <c r="AL12" s="124"/>
      <c r="AM12" s="138"/>
      <c r="AN12" s="126">
        <f t="shared" si="1"/>
        <v>2</v>
      </c>
      <c r="AO12" s="127">
        <f t="shared" si="1"/>
        <v>42213</v>
      </c>
      <c r="AP12" s="128">
        <f t="shared" si="1"/>
        <v>0.41666666666666669</v>
      </c>
      <c r="AQ12" s="127">
        <f t="shared" si="1"/>
        <v>42214</v>
      </c>
      <c r="AR12" s="128">
        <f t="shared" si="1"/>
        <v>0.41666666666666669</v>
      </c>
      <c r="AS12" s="129">
        <f t="shared" si="2"/>
        <v>155.16361668103113</v>
      </c>
      <c r="AT12" s="132">
        <f t="shared" si="3"/>
        <v>58.339203727543897</v>
      </c>
      <c r="AU12" s="130">
        <f t="shared" si="4"/>
        <v>132.31331869448621</v>
      </c>
      <c r="AV12" s="131">
        <f t="shared" si="5"/>
        <v>622.22913607006001</v>
      </c>
      <c r="AW12" s="132">
        <f t="shared" si="6"/>
        <v>180.00616389206485</v>
      </c>
      <c r="AX12" s="132">
        <f t="shared" si="7"/>
        <v>92.423387650534849</v>
      </c>
      <c r="AY12" s="132">
        <f t="shared" si="8"/>
        <v>21.203701125565395</v>
      </c>
      <c r="AZ12" s="133">
        <f t="shared" si="9"/>
        <v>271.2529753863663</v>
      </c>
      <c r="BA12" s="133">
        <f t="shared" si="10"/>
        <v>75.509640886276358</v>
      </c>
      <c r="BB12" s="133">
        <f t="shared" si="11"/>
        <v>5.006189293132234</v>
      </c>
      <c r="BC12" s="133">
        <f t="shared" si="12"/>
        <v>11.938347961252699</v>
      </c>
      <c r="BD12" s="134">
        <f t="shared" si="13"/>
        <v>18.868788291354662</v>
      </c>
      <c r="BF12" s="139">
        <f t="shared" si="14"/>
        <v>105.77162190297732</v>
      </c>
      <c r="BG12" s="140">
        <f t="shared" si="15"/>
        <v>27.153991291727142</v>
      </c>
      <c r="BH12" s="140">
        <f t="shared" si="16"/>
        <v>6.2296473906911141</v>
      </c>
      <c r="BI12" s="140">
        <f t="shared" si="17"/>
        <v>79.694124168514421</v>
      </c>
      <c r="BJ12" s="140">
        <f t="shared" si="18"/>
        <v>22.184732492387997</v>
      </c>
      <c r="BK12" s="140">
        <f t="shared" si="19"/>
        <v>1.4708184143222507</v>
      </c>
      <c r="BL12" s="140">
        <f t="shared" si="20"/>
        <v>7.0120888157894727</v>
      </c>
      <c r="BM12" s="140">
        <f t="shared" si="21"/>
        <v>11.065169660678643</v>
      </c>
      <c r="BN12" s="140">
        <f t="shared" si="22"/>
        <v>139.15526058539558</v>
      </c>
      <c r="BO12" s="140">
        <f t="shared" si="23"/>
        <v>121.42693355169278</v>
      </c>
      <c r="BP12" s="140">
        <f t="shared" si="24"/>
        <v>260.58219413708838</v>
      </c>
      <c r="BQ12" s="140">
        <f t="shared" si="25"/>
        <v>-6.8033531962572198</v>
      </c>
      <c r="BR12" s="140">
        <f t="shared" si="26"/>
        <v>8</v>
      </c>
      <c r="BS12" s="141" t="str">
        <f t="shared" si="27"/>
        <v>○</v>
      </c>
    </row>
    <row r="13" spans="1:71" s="72" customFormat="1" ht="15" customHeight="1" x14ac:dyDescent="0.3">
      <c r="A13" s="117">
        <v>3</v>
      </c>
      <c r="B13" s="118">
        <v>42214</v>
      </c>
      <c r="C13" s="119">
        <v>0.41666666666666669</v>
      </c>
      <c r="D13" s="118">
        <v>42215</v>
      </c>
      <c r="E13" s="119">
        <v>0.41597222222222219</v>
      </c>
      <c r="F13" s="120">
        <v>20</v>
      </c>
      <c r="G13" s="121">
        <v>3.0289999999999999</v>
      </c>
      <c r="H13" s="122">
        <f t="shared" si="0"/>
        <v>3.0289999999999999</v>
      </c>
      <c r="I13" s="123">
        <v>3.9176929999999999</v>
      </c>
      <c r="J13" s="120"/>
      <c r="K13" s="120">
        <v>1.4243760000000001</v>
      </c>
      <c r="L13" s="120"/>
      <c r="M13" s="120">
        <v>0.227606</v>
      </c>
      <c r="N13" s="120"/>
      <c r="O13" s="120">
        <v>1.1196820000000001</v>
      </c>
      <c r="P13" s="120"/>
      <c r="Q13" s="120">
        <v>0.21149599999999999</v>
      </c>
      <c r="R13" s="120"/>
      <c r="S13" s="120">
        <v>4.9648999999999999E-2</v>
      </c>
      <c r="T13" s="120"/>
      <c r="U13" s="120">
        <v>6.8831000000000003E-2</v>
      </c>
      <c r="V13" s="120"/>
      <c r="W13" s="120">
        <v>0.27035500000000001</v>
      </c>
      <c r="X13" s="120"/>
      <c r="Y13" s="120">
        <v>0.495139</v>
      </c>
      <c r="Z13" s="120"/>
      <c r="AA13" s="120">
        <v>1.0073799999999999</v>
      </c>
      <c r="AB13" s="120"/>
      <c r="AC13" s="120">
        <v>0.98147899999999999</v>
      </c>
      <c r="AD13" s="120"/>
      <c r="AE13" s="120">
        <v>0.227628</v>
      </c>
      <c r="AF13" s="120"/>
      <c r="AG13" s="120">
        <v>2.887467</v>
      </c>
      <c r="AH13" s="120"/>
      <c r="AI13" s="120">
        <v>0.23480000000000001</v>
      </c>
      <c r="AJ13" s="120"/>
      <c r="AK13" s="120">
        <v>1.8920840000000001</v>
      </c>
      <c r="AL13" s="124"/>
      <c r="AM13" s="78"/>
      <c r="AN13" s="126">
        <f t="shared" si="1"/>
        <v>3</v>
      </c>
      <c r="AO13" s="127">
        <f t="shared" si="1"/>
        <v>42214</v>
      </c>
      <c r="AP13" s="128">
        <f t="shared" si="1"/>
        <v>0.41666666666666669</v>
      </c>
      <c r="AQ13" s="127">
        <f t="shared" si="1"/>
        <v>42215</v>
      </c>
      <c r="AR13" s="128">
        <f t="shared" si="1"/>
        <v>0.41597222222222219</v>
      </c>
      <c r="AS13" s="129">
        <f t="shared" si="2"/>
        <v>116.25444287702052</v>
      </c>
      <c r="AT13" s="132">
        <f t="shared" si="3"/>
        <v>53.63302833667921</v>
      </c>
      <c r="AU13" s="130">
        <f t="shared" si="4"/>
        <v>113.27072898045736</v>
      </c>
      <c r="AV13" s="131">
        <f t="shared" si="5"/>
        <v>387.91900029207687</v>
      </c>
      <c r="AW13" s="132">
        <f t="shared" si="6"/>
        <v>134.64447738761274</v>
      </c>
      <c r="AX13" s="132">
        <f t="shared" si="7"/>
        <v>75.833943864366759</v>
      </c>
      <c r="AY13" s="132">
        <f t="shared" si="8"/>
        <v>21.19669709032712</v>
      </c>
      <c r="AZ13" s="133">
        <f t="shared" si="9"/>
        <v>204.90798848382857</v>
      </c>
      <c r="BA13" s="133">
        <f t="shared" si="10"/>
        <v>30.371337186952115</v>
      </c>
      <c r="BB13" s="133">
        <f t="shared" si="11"/>
        <v>4.1921274229760224</v>
      </c>
      <c r="BC13" s="133">
        <f t="shared" si="12"/>
        <v>9.3475941261077136</v>
      </c>
      <c r="BD13" s="134">
        <f t="shared" si="13"/>
        <v>22.31388246946187</v>
      </c>
      <c r="BF13" s="139">
        <f t="shared" si="14"/>
        <v>81.567624401415785</v>
      </c>
      <c r="BG13" s="140">
        <f t="shared" si="15"/>
        <v>22.970101596516692</v>
      </c>
      <c r="BH13" s="140">
        <f t="shared" si="16"/>
        <v>6.4204795486600839</v>
      </c>
      <c r="BI13" s="140">
        <f t="shared" si="17"/>
        <v>62.066629711751666</v>
      </c>
      <c r="BJ13" s="140">
        <f t="shared" si="18"/>
        <v>9.1994780339277948</v>
      </c>
      <c r="BK13" s="140">
        <f t="shared" si="19"/>
        <v>1.2697953964194373</v>
      </c>
      <c r="BL13" s="140">
        <f t="shared" si="20"/>
        <v>5.6604440789473687</v>
      </c>
      <c r="BM13" s="140">
        <f t="shared" si="21"/>
        <v>13.490768463073854</v>
      </c>
      <c r="BN13" s="140">
        <f t="shared" si="22"/>
        <v>110.95820554659257</v>
      </c>
      <c r="BO13" s="140">
        <f t="shared" si="23"/>
        <v>91.687115684120116</v>
      </c>
      <c r="BP13" s="140">
        <f t="shared" si="24"/>
        <v>202.64532123071268</v>
      </c>
      <c r="BQ13" s="140">
        <f t="shared" si="25"/>
        <v>-9.5097630408807827</v>
      </c>
      <c r="BR13" s="140">
        <f t="shared" si="26"/>
        <v>8</v>
      </c>
      <c r="BS13" s="141" t="str">
        <f t="shared" si="27"/>
        <v>×</v>
      </c>
    </row>
    <row r="14" spans="1:71" s="72" customFormat="1" ht="15" customHeight="1" x14ac:dyDescent="0.3">
      <c r="A14" s="117">
        <v>4</v>
      </c>
      <c r="B14" s="118">
        <v>42215</v>
      </c>
      <c r="C14" s="119">
        <v>0.41597222222222219</v>
      </c>
      <c r="D14" s="118">
        <v>42216</v>
      </c>
      <c r="E14" s="119">
        <v>0.41597222222222219</v>
      </c>
      <c r="F14" s="120">
        <v>20</v>
      </c>
      <c r="G14" s="121">
        <v>3.0379999999999998</v>
      </c>
      <c r="H14" s="122">
        <f t="shared" si="0"/>
        <v>3.0379999999999998</v>
      </c>
      <c r="I14" s="123">
        <v>5.9239550000000003</v>
      </c>
      <c r="J14" s="120"/>
      <c r="K14" s="120">
        <v>1.624064</v>
      </c>
      <c r="L14" s="120"/>
      <c r="M14" s="120">
        <v>0.20261799999999999</v>
      </c>
      <c r="N14" s="120"/>
      <c r="O14" s="120">
        <v>1.855518</v>
      </c>
      <c r="P14" s="120"/>
      <c r="Q14" s="120">
        <v>0.149645</v>
      </c>
      <c r="R14" s="120"/>
      <c r="S14" s="120">
        <v>6.1948000000000003E-2</v>
      </c>
      <c r="T14" s="120"/>
      <c r="U14" s="120">
        <v>8.1449999999999995E-2</v>
      </c>
      <c r="V14" s="120"/>
      <c r="W14" s="120">
        <v>0.92605099999999996</v>
      </c>
      <c r="X14" s="120"/>
      <c r="Y14" s="120">
        <v>0.73713899999999999</v>
      </c>
      <c r="Z14" s="120"/>
      <c r="AA14" s="120">
        <v>1.5411330000000001</v>
      </c>
      <c r="AB14" s="120"/>
      <c r="AC14" s="120">
        <v>1.0150980000000001</v>
      </c>
      <c r="AD14" s="120"/>
      <c r="AE14" s="120">
        <v>0.31985000000000002</v>
      </c>
      <c r="AF14" s="120"/>
      <c r="AG14" s="120">
        <v>5.2425030000000001</v>
      </c>
      <c r="AH14" s="120"/>
      <c r="AI14" s="120">
        <v>0.24623999999999999</v>
      </c>
      <c r="AJ14" s="120"/>
      <c r="AK14" s="120">
        <v>1.942153</v>
      </c>
      <c r="AL14" s="124"/>
      <c r="AM14" s="78"/>
      <c r="AN14" s="126">
        <f t="shared" si="1"/>
        <v>4</v>
      </c>
      <c r="AO14" s="127">
        <f t="shared" si="1"/>
        <v>42215</v>
      </c>
      <c r="AP14" s="128">
        <f t="shared" si="1"/>
        <v>0.41597222222222219</v>
      </c>
      <c r="AQ14" s="127">
        <f t="shared" si="1"/>
        <v>42216</v>
      </c>
      <c r="AR14" s="128">
        <f t="shared" si="1"/>
        <v>0.41597222222222219</v>
      </c>
      <c r="AS14" s="129">
        <f t="shared" si="2"/>
        <v>204.90135567837584</v>
      </c>
      <c r="AT14" s="130">
        <f t="shared" si="3"/>
        <v>81.807028724688067</v>
      </c>
      <c r="AU14" s="122">
        <f t="shared" si="4"/>
        <v>117.11903106026067</v>
      </c>
      <c r="AV14" s="131">
        <f t="shared" si="5"/>
        <v>412.73269553869761</v>
      </c>
      <c r="AW14" s="132">
        <f t="shared" si="6"/>
        <v>202.99315752978069</v>
      </c>
      <c r="AX14" s="132">
        <f t="shared" si="7"/>
        <v>86.209204720638525</v>
      </c>
      <c r="AY14" s="132">
        <f t="shared" si="8"/>
        <v>18.813691362162952</v>
      </c>
      <c r="AZ14" s="133">
        <f t="shared" si="9"/>
        <v>338.56407164825731</v>
      </c>
      <c r="BA14" s="133">
        <f t="shared" si="10"/>
        <v>21.425722206265945</v>
      </c>
      <c r="BB14" s="133">
        <f t="shared" si="11"/>
        <v>5.2151014683573296</v>
      </c>
      <c r="BC14" s="133">
        <f t="shared" si="12"/>
        <v>11.028548572598451</v>
      </c>
      <c r="BD14" s="134">
        <f t="shared" si="13"/>
        <v>76.20564516129032</v>
      </c>
      <c r="BF14" s="139">
        <f t="shared" si="14"/>
        <v>123.33864251509473</v>
      </c>
      <c r="BG14" s="140">
        <f t="shared" si="15"/>
        <v>26.190356394129982</v>
      </c>
      <c r="BH14" s="140">
        <f t="shared" si="16"/>
        <v>5.715599435825105</v>
      </c>
      <c r="BI14" s="140">
        <f t="shared" si="17"/>
        <v>102.85576496674058</v>
      </c>
      <c r="BJ14" s="140">
        <f t="shared" si="18"/>
        <v>6.5091344062635939</v>
      </c>
      <c r="BK14" s="140">
        <f t="shared" si="19"/>
        <v>1.5843478260869566</v>
      </c>
      <c r="BL14" s="140">
        <f t="shared" si="20"/>
        <v>6.6981907894736841</v>
      </c>
      <c r="BM14" s="140">
        <f t="shared" si="21"/>
        <v>46.210129740518958</v>
      </c>
      <c r="BN14" s="140">
        <f t="shared" si="22"/>
        <v>155.24459834504984</v>
      </c>
      <c r="BO14" s="140">
        <f t="shared" si="23"/>
        <v>163.85756772908377</v>
      </c>
      <c r="BP14" s="140">
        <f t="shared" si="24"/>
        <v>319.10216607413361</v>
      </c>
      <c r="BQ14" s="140">
        <f t="shared" si="25"/>
        <v>2.6991259539219086</v>
      </c>
      <c r="BR14" s="140">
        <f t="shared" si="26"/>
        <v>8</v>
      </c>
      <c r="BS14" s="141" t="str">
        <f t="shared" si="27"/>
        <v>○</v>
      </c>
    </row>
    <row r="15" spans="1:71" s="72" customFormat="1" ht="15" customHeight="1" x14ac:dyDescent="0.3">
      <c r="A15" s="117" t="s">
        <v>537</v>
      </c>
      <c r="B15" s="118">
        <v>42216</v>
      </c>
      <c r="C15" s="119">
        <v>0.41597222222222219</v>
      </c>
      <c r="D15" s="118">
        <v>42217</v>
      </c>
      <c r="E15" s="119">
        <v>0</v>
      </c>
      <c r="F15" s="120">
        <v>20</v>
      </c>
      <c r="G15" s="121">
        <v>1.665</v>
      </c>
      <c r="H15" s="122">
        <f t="shared" si="0"/>
        <v>1.665</v>
      </c>
      <c r="I15" s="123">
        <v>5.1012219999999999</v>
      </c>
      <c r="J15" s="120"/>
      <c r="K15" s="120">
        <v>1.454985</v>
      </c>
      <c r="L15" s="120"/>
      <c r="M15" s="120">
        <v>0.25021100000000002</v>
      </c>
      <c r="N15" s="120"/>
      <c r="O15" s="120">
        <v>1.5050220000000001</v>
      </c>
      <c r="P15" s="120"/>
      <c r="Q15" s="120">
        <v>0.14627699999999999</v>
      </c>
      <c r="R15" s="120"/>
      <c r="S15" s="120">
        <v>3.6237999999999999E-2</v>
      </c>
      <c r="T15" s="120"/>
      <c r="U15" s="120">
        <v>5.1605999999999999E-2</v>
      </c>
      <c r="V15" s="120"/>
      <c r="W15" s="120">
        <v>0.27877200000000002</v>
      </c>
      <c r="X15" s="120"/>
      <c r="Y15" s="120">
        <v>0.89408699999999997</v>
      </c>
      <c r="Z15" s="120"/>
      <c r="AA15" s="120">
        <v>1.641032</v>
      </c>
      <c r="AB15" s="120"/>
      <c r="AC15" s="120">
        <v>1.006559</v>
      </c>
      <c r="AD15" s="120"/>
      <c r="AE15" s="120">
        <v>0.38572299999999998</v>
      </c>
      <c r="AF15" s="120"/>
      <c r="AG15" s="120">
        <v>7.2530469999999996</v>
      </c>
      <c r="AH15" s="120"/>
      <c r="AI15" s="120">
        <v>0.26034600000000002</v>
      </c>
      <c r="AJ15" s="120"/>
      <c r="AK15" s="120">
        <v>1.409848</v>
      </c>
      <c r="AL15" s="124"/>
      <c r="AM15" s="78"/>
      <c r="AN15" s="126" t="str">
        <f t="shared" si="1"/>
        <v>5-</v>
      </c>
      <c r="AO15" s="127">
        <f t="shared" si="1"/>
        <v>42216</v>
      </c>
      <c r="AP15" s="128">
        <f t="shared" si="1"/>
        <v>0.41597222222222219</v>
      </c>
      <c r="AQ15" s="127">
        <f t="shared" si="1"/>
        <v>42217</v>
      </c>
      <c r="AR15" s="128">
        <f t="shared" si="1"/>
        <v>0</v>
      </c>
      <c r="AS15" s="129">
        <f t="shared" si="2"/>
        <v>509.38721357209801</v>
      </c>
      <c r="AT15" s="130">
        <f t="shared" si="3"/>
        <v>158.94288095545954</v>
      </c>
      <c r="AU15" s="130">
        <f t="shared" si="4"/>
        <v>214.64143974722251</v>
      </c>
      <c r="AV15" s="131">
        <f t="shared" si="5"/>
        <v>597.79435755045517</v>
      </c>
      <c r="AW15" s="132">
        <f t="shared" si="6"/>
        <v>318.94617915854639</v>
      </c>
      <c r="AX15" s="132">
        <f t="shared" si="7"/>
        <v>140.9232163949145</v>
      </c>
      <c r="AY15" s="132">
        <f t="shared" si="8"/>
        <v>42.391220557652154</v>
      </c>
      <c r="AZ15" s="133">
        <f t="shared" si="9"/>
        <v>501.06270350172792</v>
      </c>
      <c r="BA15" s="133">
        <f t="shared" si="10"/>
        <v>38.214029601589409</v>
      </c>
      <c r="BB15" s="133">
        <f t="shared" si="11"/>
        <v>5.5663847991213711</v>
      </c>
      <c r="BC15" s="133">
        <f t="shared" si="12"/>
        <v>12.74973039678922</v>
      </c>
      <c r="BD15" s="134">
        <f t="shared" si="13"/>
        <v>41.857657657657661</v>
      </c>
      <c r="BF15" s="139">
        <f t="shared" si="14"/>
        <v>106.20907765979595</v>
      </c>
      <c r="BG15" s="140">
        <f t="shared" si="15"/>
        <v>23.463715529753266</v>
      </c>
      <c r="BH15" s="140">
        <f t="shared" si="16"/>
        <v>7.0581382228490828</v>
      </c>
      <c r="BI15" s="140">
        <f t="shared" si="17"/>
        <v>83.426940133037704</v>
      </c>
      <c r="BJ15" s="140">
        <f t="shared" si="18"/>
        <v>6.3626359286646368</v>
      </c>
      <c r="BK15" s="140">
        <f t="shared" si="19"/>
        <v>0.92680306905370846</v>
      </c>
      <c r="BL15" s="140">
        <f t="shared" si="20"/>
        <v>4.2439144736842103</v>
      </c>
      <c r="BM15" s="140">
        <f t="shared" si="21"/>
        <v>13.910778443113774</v>
      </c>
      <c r="BN15" s="140">
        <f t="shared" si="22"/>
        <v>136.73093141239832</v>
      </c>
      <c r="BO15" s="140">
        <f t="shared" si="23"/>
        <v>108.87107204755402</v>
      </c>
      <c r="BP15" s="140">
        <f t="shared" si="24"/>
        <v>245.60200345995236</v>
      </c>
      <c r="BQ15" s="140">
        <f t="shared" si="25"/>
        <v>-11.343498413027849</v>
      </c>
      <c r="BR15" s="140">
        <f t="shared" si="26"/>
        <v>8</v>
      </c>
      <c r="BS15" s="141" t="str">
        <f t="shared" si="27"/>
        <v>×</v>
      </c>
    </row>
    <row r="16" spans="1:71" s="72" customFormat="1" ht="15" customHeight="1" x14ac:dyDescent="0.3">
      <c r="A16" s="117" t="s">
        <v>538</v>
      </c>
      <c r="B16" s="118">
        <v>42217</v>
      </c>
      <c r="C16" s="119">
        <v>0</v>
      </c>
      <c r="D16" s="118">
        <v>42218</v>
      </c>
      <c r="E16" s="119">
        <v>0.41597222222222219</v>
      </c>
      <c r="F16" s="120">
        <v>20</v>
      </c>
      <c r="G16" s="121">
        <v>4.2709999999999999</v>
      </c>
      <c r="H16" s="122">
        <f t="shared" si="0"/>
        <v>4.2709999999999999</v>
      </c>
      <c r="I16" s="123">
        <v>14.143303</v>
      </c>
      <c r="J16" s="120"/>
      <c r="K16" s="120">
        <v>2.4944480000000002</v>
      </c>
      <c r="L16" s="120"/>
      <c r="M16" s="120">
        <v>0.38496999999999998</v>
      </c>
      <c r="N16" s="120"/>
      <c r="O16" s="120">
        <v>4.5717239999999997</v>
      </c>
      <c r="P16" s="120"/>
      <c r="Q16" s="120">
        <v>0.38212600000000002</v>
      </c>
      <c r="R16" s="120"/>
      <c r="S16" s="120">
        <v>4.9170999999999999E-2</v>
      </c>
      <c r="T16" s="120"/>
      <c r="U16" s="120">
        <v>5.8046E-2</v>
      </c>
      <c r="V16" s="120"/>
      <c r="W16" s="120">
        <v>1.3943080000000001</v>
      </c>
      <c r="X16" s="120"/>
      <c r="Y16" s="120">
        <v>1.2665249999999999</v>
      </c>
      <c r="Z16" s="120"/>
      <c r="AA16" s="120">
        <v>3.1289850000000001</v>
      </c>
      <c r="AB16" s="120"/>
      <c r="AC16" s="120">
        <v>1.4237869999999999</v>
      </c>
      <c r="AD16" s="120"/>
      <c r="AE16" s="120">
        <v>0.86947099999999999</v>
      </c>
      <c r="AF16" s="120"/>
      <c r="AG16" s="120">
        <v>11.083373999999999</v>
      </c>
      <c r="AH16" s="120"/>
      <c r="AI16" s="120">
        <v>0.26581500000000002</v>
      </c>
      <c r="AJ16" s="120"/>
      <c r="AK16" s="120">
        <v>2.1713110000000002</v>
      </c>
      <c r="AL16" s="124"/>
      <c r="AM16" s="78"/>
      <c r="AN16" s="126" t="str">
        <f t="shared" si="1"/>
        <v>6+</v>
      </c>
      <c r="AO16" s="127">
        <f t="shared" si="1"/>
        <v>42217</v>
      </c>
      <c r="AP16" s="128">
        <f t="shared" si="1"/>
        <v>0</v>
      </c>
      <c r="AQ16" s="127">
        <f t="shared" si="1"/>
        <v>42218</v>
      </c>
      <c r="AR16" s="128">
        <f t="shared" si="1"/>
        <v>0.41597222222222219</v>
      </c>
      <c r="AS16" s="129">
        <f t="shared" si="2"/>
        <v>301.01715870334493</v>
      </c>
      <c r="AT16" s="132">
        <f t="shared" si="3"/>
        <v>118.1441381253188</v>
      </c>
      <c r="AU16" s="130">
        <f t="shared" si="4"/>
        <v>111.59342421203252</v>
      </c>
      <c r="AV16" s="131">
        <f t="shared" si="5"/>
        <v>394.65642831222385</v>
      </c>
      <c r="AW16" s="132">
        <f t="shared" si="6"/>
        <v>344.72969242424534</v>
      </c>
      <c r="AX16" s="132">
        <f t="shared" si="7"/>
        <v>94.185305796744075</v>
      </c>
      <c r="AY16" s="132">
        <f t="shared" si="8"/>
        <v>25.426177596206781</v>
      </c>
      <c r="AZ16" s="133">
        <f t="shared" si="9"/>
        <v>593.35403362334864</v>
      </c>
      <c r="BA16" s="133">
        <f t="shared" si="10"/>
        <v>38.916882718240274</v>
      </c>
      <c r="BB16" s="133">
        <f t="shared" si="11"/>
        <v>2.9444400198567511</v>
      </c>
      <c r="BC16" s="133">
        <f t="shared" si="12"/>
        <v>5.5905915946958826</v>
      </c>
      <c r="BD16" s="134">
        <f t="shared" si="13"/>
        <v>81.614844298759081</v>
      </c>
      <c r="BF16" s="139">
        <f t="shared" si="14"/>
        <v>294.46810326879029</v>
      </c>
      <c r="BG16" s="140">
        <f t="shared" si="15"/>
        <v>40.226544105789394</v>
      </c>
      <c r="BH16" s="140">
        <f t="shared" si="16"/>
        <v>10.859520451339915</v>
      </c>
      <c r="BI16" s="140">
        <f t="shared" si="17"/>
        <v>253.42150776053214</v>
      </c>
      <c r="BJ16" s="140">
        <f t="shared" si="18"/>
        <v>16.621400608960418</v>
      </c>
      <c r="BK16" s="140">
        <f t="shared" si="19"/>
        <v>1.2575703324808185</v>
      </c>
      <c r="BL16" s="140">
        <f t="shared" si="20"/>
        <v>4.773519736842105</v>
      </c>
      <c r="BM16" s="140">
        <f t="shared" si="21"/>
        <v>69.576247504990036</v>
      </c>
      <c r="BN16" s="140">
        <f t="shared" si="22"/>
        <v>345.55416782591959</v>
      </c>
      <c r="BO16" s="140">
        <f t="shared" si="23"/>
        <v>345.65024594380554</v>
      </c>
      <c r="BP16" s="140">
        <f t="shared" si="24"/>
        <v>691.20441376972508</v>
      </c>
      <c r="BQ16" s="140">
        <f t="shared" si="25"/>
        <v>1.3900101905014808E-2</v>
      </c>
      <c r="BR16" s="140">
        <f t="shared" si="26"/>
        <v>8</v>
      </c>
      <c r="BS16" s="141" t="str">
        <f t="shared" si="27"/>
        <v>○</v>
      </c>
    </row>
    <row r="17" spans="1:72" s="77" customFormat="1" ht="15" customHeight="1" x14ac:dyDescent="0.3">
      <c r="A17" s="142">
        <v>7</v>
      </c>
      <c r="B17" s="143">
        <v>42218</v>
      </c>
      <c r="C17" s="144">
        <v>0.41597222222222219</v>
      </c>
      <c r="D17" s="143">
        <v>42219</v>
      </c>
      <c r="E17" s="144">
        <v>0.41597222222222219</v>
      </c>
      <c r="F17" s="146">
        <v>20</v>
      </c>
      <c r="G17" s="147">
        <v>3.06</v>
      </c>
      <c r="H17" s="148">
        <f t="shared" si="0"/>
        <v>3.06</v>
      </c>
      <c r="I17" s="149">
        <v>8.1877370000000003</v>
      </c>
      <c r="J17" s="146"/>
      <c r="K17" s="146">
        <v>1.403586</v>
      </c>
      <c r="L17" s="146"/>
      <c r="M17" s="146">
        <v>0.228015</v>
      </c>
      <c r="N17" s="146"/>
      <c r="O17" s="146">
        <v>2.6001319999999999</v>
      </c>
      <c r="P17" s="146"/>
      <c r="Q17" s="146">
        <v>0.15293200000000001</v>
      </c>
      <c r="R17" s="146"/>
      <c r="S17" s="146">
        <v>6.2802999999999998E-2</v>
      </c>
      <c r="T17" s="146"/>
      <c r="U17" s="146">
        <v>5.2394999999999997E-2</v>
      </c>
      <c r="V17" s="146"/>
      <c r="W17" s="146">
        <v>0.78422999999999998</v>
      </c>
      <c r="X17" s="146"/>
      <c r="Y17" s="146">
        <v>1.0622609999999999</v>
      </c>
      <c r="Z17" s="146"/>
      <c r="AA17" s="146">
        <v>1.403586</v>
      </c>
      <c r="AB17" s="146"/>
      <c r="AC17" s="146">
        <v>1.142625</v>
      </c>
      <c r="AD17" s="146"/>
      <c r="AE17" s="146">
        <v>0.34034399999999998</v>
      </c>
      <c r="AF17" s="146"/>
      <c r="AG17" s="146">
        <v>7.4688280000000002</v>
      </c>
      <c r="AH17" s="146"/>
      <c r="AI17" s="146">
        <v>0.237208</v>
      </c>
      <c r="AJ17" s="146"/>
      <c r="AK17" s="146">
        <v>2.3153619999999999</v>
      </c>
      <c r="AL17" s="150"/>
      <c r="AN17" s="151">
        <f t="shared" si="1"/>
        <v>7</v>
      </c>
      <c r="AO17" s="152">
        <f t="shared" si="1"/>
        <v>42218</v>
      </c>
      <c r="AP17" s="153">
        <f t="shared" si="1"/>
        <v>0.41597222222222219</v>
      </c>
      <c r="AQ17" s="152">
        <f t="shared" si="1"/>
        <v>42219</v>
      </c>
      <c r="AR17" s="153">
        <f t="shared" si="1"/>
        <v>0.41597222222222219</v>
      </c>
      <c r="AS17" s="154">
        <f t="shared" si="2"/>
        <v>290.22877177798733</v>
      </c>
      <c r="AT17" s="155">
        <f t="shared" si="3"/>
        <v>73.970042782473413</v>
      </c>
      <c r="AU17" s="155">
        <f t="shared" si="4"/>
        <v>127.20051255104768</v>
      </c>
      <c r="AV17" s="156">
        <f t="shared" si="5"/>
        <v>481.08524267060858</v>
      </c>
      <c r="AW17" s="157">
        <f t="shared" si="6"/>
        <v>278.5478915002742</v>
      </c>
      <c r="AX17" s="157">
        <f t="shared" si="7"/>
        <v>73.970042782473413</v>
      </c>
      <c r="AY17" s="157">
        <f t="shared" si="8"/>
        <v>21.019663154401393</v>
      </c>
      <c r="AZ17" s="158">
        <f t="shared" si="9"/>
        <v>471.01792675680764</v>
      </c>
      <c r="BA17" s="158">
        <f t="shared" si="10"/>
        <v>21.738920303513606</v>
      </c>
      <c r="BB17" s="158">
        <f t="shared" si="11"/>
        <v>5.2490680841816681</v>
      </c>
      <c r="BC17" s="158">
        <f t="shared" si="12"/>
        <v>7.0434179430719235</v>
      </c>
      <c r="BD17" s="159">
        <f t="shared" si="13"/>
        <v>64.071078431372555</v>
      </c>
      <c r="BF17" s="139">
        <f t="shared" si="14"/>
        <v>170.47130959816781</v>
      </c>
      <c r="BG17" s="140">
        <f t="shared" si="15"/>
        <v>22.634833091436864</v>
      </c>
      <c r="BH17" s="140">
        <f t="shared" si="16"/>
        <v>6.4320169252468258</v>
      </c>
      <c r="BI17" s="140">
        <f t="shared" si="17"/>
        <v>144.13148558758314</v>
      </c>
      <c r="BJ17" s="140">
        <f t="shared" si="18"/>
        <v>6.6521096128751642</v>
      </c>
      <c r="BK17" s="140">
        <f t="shared" si="19"/>
        <v>1.6062148337595905</v>
      </c>
      <c r="BL17" s="140">
        <f t="shared" si="20"/>
        <v>4.3087993421052628</v>
      </c>
      <c r="BM17" s="140">
        <f t="shared" si="21"/>
        <v>39.133233532934128</v>
      </c>
      <c r="BN17" s="140">
        <f t="shared" si="22"/>
        <v>199.53815961485148</v>
      </c>
      <c r="BO17" s="140">
        <f t="shared" si="23"/>
        <v>195.83184290925729</v>
      </c>
      <c r="BP17" s="140">
        <f t="shared" si="24"/>
        <v>395.37000252410877</v>
      </c>
      <c r="BQ17" s="140">
        <f t="shared" si="25"/>
        <v>-0.93742992182827212</v>
      </c>
      <c r="BR17" s="140">
        <f t="shared" si="26"/>
        <v>8</v>
      </c>
      <c r="BS17" s="141" t="str">
        <f t="shared" si="27"/>
        <v>○</v>
      </c>
    </row>
    <row r="18" spans="1:72" s="72" customFormat="1" ht="15" customHeight="1" x14ac:dyDescent="0.3">
      <c r="A18" s="117"/>
      <c r="B18" s="118"/>
      <c r="C18" s="119"/>
      <c r="D18" s="118"/>
      <c r="E18" s="119"/>
      <c r="F18" s="120"/>
      <c r="G18" s="121"/>
      <c r="H18" s="122"/>
      <c r="I18" s="12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4"/>
      <c r="AM18" s="78"/>
      <c r="AN18" s="126">
        <f t="shared" si="1"/>
        <v>0</v>
      </c>
      <c r="AO18" s="127">
        <f t="shared" si="1"/>
        <v>0</v>
      </c>
      <c r="AP18" s="128">
        <f t="shared" si="1"/>
        <v>0</v>
      </c>
      <c r="AQ18" s="127">
        <f t="shared" si="1"/>
        <v>0</v>
      </c>
      <c r="AR18" s="128">
        <f t="shared" si="1"/>
        <v>0</v>
      </c>
      <c r="AS18" s="160" t="e">
        <f t="shared" ref="AS18:AS38" si="28">1000/96.06*(Y18-Z18+AG18-AH18)*20/H18</f>
        <v>#DIV/0!</v>
      </c>
      <c r="AT18" s="122" t="e">
        <f t="shared" ref="AT18:AT38" si="29">1000/62.01*(AA18-AB18)*20/H18</f>
        <v>#DIV/0!</v>
      </c>
      <c r="AU18" s="122" t="e">
        <f>1000/35.45*(AC18-AD18+AI18-AJ18)*20/H18</f>
        <v>#DIV/0!</v>
      </c>
      <c r="AV18" s="122" t="e">
        <f t="shared" ref="AV18:AV38" si="30">1000/18.04*(AE18-AF18+AK18-AL18)*20/H18</f>
        <v>#DIV/0!</v>
      </c>
      <c r="AW18" s="122" t="e">
        <f t="shared" ref="AW18:AW24" si="31">1000/96.06*(I18-J18)*40/H18</f>
        <v>#DIV/0!</v>
      </c>
      <c r="AX18" s="122" t="e">
        <f t="shared" ref="AX18:AX24" si="32">1000/62.01*(K18-L18)*40/H18</f>
        <v>#DIV/0!</v>
      </c>
      <c r="AY18" s="122" t="e">
        <f t="shared" ref="AY18:AY24" si="33">1000/35.45*(M18-N18)*40/H18</f>
        <v>#DIV/0!</v>
      </c>
      <c r="AZ18" s="161" t="e">
        <f t="shared" ref="AZ18:AZ24" si="34">1000/18.04*(O18-P18)*40/H18</f>
        <v>#DIV/0!</v>
      </c>
      <c r="BA18" s="161" t="e">
        <f t="shared" ref="BA18:BA24" si="35">1000/22.99*(Q18-R18)*40/H18</f>
        <v>#DIV/0!</v>
      </c>
      <c r="BB18" s="161" t="e">
        <f t="shared" ref="BB18:BB24" si="36">1000/39.1*(S18-T18)*40/H18</f>
        <v>#DIV/0!</v>
      </c>
      <c r="BC18" s="161" t="e">
        <f t="shared" ref="BC18:BC24" si="37">1000/24.31*(U18-V18)*40/H18</f>
        <v>#DIV/0!</v>
      </c>
      <c r="BD18" s="162" t="e">
        <f t="shared" ref="BD18:BD24" si="38">1000/40*(W18-X18)*40/H18</f>
        <v>#DIV/0!</v>
      </c>
      <c r="BF18" s="163">
        <f t="shared" si="14"/>
        <v>0</v>
      </c>
      <c r="BG18" s="164">
        <f t="shared" si="15"/>
        <v>0</v>
      </c>
      <c r="BH18" s="164">
        <f t="shared" si="16"/>
        <v>0</v>
      </c>
      <c r="BI18" s="164">
        <f t="shared" si="17"/>
        <v>0</v>
      </c>
      <c r="BJ18" s="164">
        <f t="shared" si="18"/>
        <v>0</v>
      </c>
      <c r="BK18" s="164">
        <f t="shared" si="19"/>
        <v>0</v>
      </c>
      <c r="BL18" s="164">
        <f t="shared" si="20"/>
        <v>0</v>
      </c>
      <c r="BM18" s="164">
        <f t="shared" si="21"/>
        <v>0</v>
      </c>
      <c r="BN18" s="164">
        <f t="shared" si="22"/>
        <v>0</v>
      </c>
      <c r="BO18" s="164">
        <f t="shared" si="23"/>
        <v>0</v>
      </c>
      <c r="BP18" s="164">
        <f t="shared" si="24"/>
        <v>0</v>
      </c>
      <c r="BQ18" s="164" t="e">
        <f t="shared" si="25"/>
        <v>#DIV/0!</v>
      </c>
      <c r="BR18" s="164">
        <f t="shared" si="26"/>
        <v>30</v>
      </c>
      <c r="BS18" s="165" t="e">
        <f t="shared" si="27"/>
        <v>#DIV/0!</v>
      </c>
    </row>
    <row r="19" spans="1:72" s="72" customFormat="1" ht="15" customHeight="1" x14ac:dyDescent="0.3">
      <c r="A19" s="117"/>
      <c r="B19" s="118"/>
      <c r="C19" s="119"/>
      <c r="D19" s="118"/>
      <c r="E19" s="119"/>
      <c r="F19" s="120"/>
      <c r="G19" s="121"/>
      <c r="H19" s="122"/>
      <c r="I19" s="12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4"/>
      <c r="AM19" s="78"/>
      <c r="AN19" s="126">
        <f t="shared" si="1"/>
        <v>0</v>
      </c>
      <c r="AO19" s="127">
        <f t="shared" si="1"/>
        <v>0</v>
      </c>
      <c r="AP19" s="128">
        <f t="shared" si="1"/>
        <v>0</v>
      </c>
      <c r="AQ19" s="127">
        <f t="shared" si="1"/>
        <v>0</v>
      </c>
      <c r="AR19" s="128">
        <f t="shared" si="1"/>
        <v>0</v>
      </c>
      <c r="AS19" s="160" t="e">
        <f t="shared" si="28"/>
        <v>#DIV/0!</v>
      </c>
      <c r="AT19" s="122" t="e">
        <f t="shared" si="29"/>
        <v>#DIV/0!</v>
      </c>
      <c r="AU19" s="122" t="e">
        <f t="shared" ref="AU19:AU38" si="39">1000/35.45*(AC19-AD19+AI19-AJ19)*20/H19</f>
        <v>#DIV/0!</v>
      </c>
      <c r="AV19" s="122" t="e">
        <f t="shared" si="30"/>
        <v>#DIV/0!</v>
      </c>
      <c r="AW19" s="122" t="e">
        <f t="shared" si="31"/>
        <v>#DIV/0!</v>
      </c>
      <c r="AX19" s="122" t="e">
        <f t="shared" si="32"/>
        <v>#DIV/0!</v>
      </c>
      <c r="AY19" s="122" t="e">
        <f t="shared" si="33"/>
        <v>#DIV/0!</v>
      </c>
      <c r="AZ19" s="161" t="e">
        <f t="shared" si="34"/>
        <v>#DIV/0!</v>
      </c>
      <c r="BA19" s="161" t="e">
        <f t="shared" si="35"/>
        <v>#DIV/0!</v>
      </c>
      <c r="BB19" s="161" t="e">
        <f t="shared" si="36"/>
        <v>#DIV/0!</v>
      </c>
      <c r="BC19" s="161" t="e">
        <f t="shared" si="37"/>
        <v>#DIV/0!</v>
      </c>
      <c r="BD19" s="162" t="e">
        <f t="shared" si="38"/>
        <v>#DIV/0!</v>
      </c>
      <c r="BF19" s="139">
        <f t="shared" si="14"/>
        <v>0</v>
      </c>
      <c r="BG19" s="140">
        <f t="shared" si="15"/>
        <v>0</v>
      </c>
      <c r="BH19" s="140">
        <f t="shared" si="16"/>
        <v>0</v>
      </c>
      <c r="BI19" s="140">
        <f t="shared" si="17"/>
        <v>0</v>
      </c>
      <c r="BJ19" s="140">
        <f t="shared" si="18"/>
        <v>0</v>
      </c>
      <c r="BK19" s="140">
        <f t="shared" si="19"/>
        <v>0</v>
      </c>
      <c r="BL19" s="140">
        <f t="shared" si="20"/>
        <v>0</v>
      </c>
      <c r="BM19" s="140">
        <f t="shared" si="21"/>
        <v>0</v>
      </c>
      <c r="BN19" s="140">
        <f t="shared" si="22"/>
        <v>0</v>
      </c>
      <c r="BO19" s="140">
        <f t="shared" si="23"/>
        <v>0</v>
      </c>
      <c r="BP19" s="140">
        <f t="shared" si="24"/>
        <v>0</v>
      </c>
      <c r="BQ19" s="140" t="e">
        <f t="shared" si="25"/>
        <v>#DIV/0!</v>
      </c>
      <c r="BR19" s="140">
        <f t="shared" si="26"/>
        <v>30</v>
      </c>
      <c r="BS19" s="141" t="e">
        <f t="shared" si="27"/>
        <v>#DIV/0!</v>
      </c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>
        <f t="shared" si="1"/>
        <v>0</v>
      </c>
      <c r="AO20" s="127">
        <f t="shared" si="1"/>
        <v>0</v>
      </c>
      <c r="AP20" s="128">
        <f t="shared" si="1"/>
        <v>0</v>
      </c>
      <c r="AQ20" s="127">
        <f t="shared" si="1"/>
        <v>0</v>
      </c>
      <c r="AR20" s="128">
        <f t="shared" si="1"/>
        <v>0</v>
      </c>
      <c r="AS20" s="160" t="e">
        <f t="shared" si="28"/>
        <v>#DIV/0!</v>
      </c>
      <c r="AT20" s="122" t="e">
        <f t="shared" si="29"/>
        <v>#DIV/0!</v>
      </c>
      <c r="AU20" s="122" t="e">
        <f t="shared" si="39"/>
        <v>#DIV/0!</v>
      </c>
      <c r="AV20" s="122" t="e">
        <f t="shared" si="30"/>
        <v>#DIV/0!</v>
      </c>
      <c r="AW20" s="122" t="e">
        <f t="shared" si="31"/>
        <v>#DIV/0!</v>
      </c>
      <c r="AX20" s="122" t="e">
        <f t="shared" si="32"/>
        <v>#DIV/0!</v>
      </c>
      <c r="AY20" s="122" t="e">
        <f t="shared" si="33"/>
        <v>#DIV/0!</v>
      </c>
      <c r="AZ20" s="161" t="e">
        <f t="shared" si="34"/>
        <v>#DIV/0!</v>
      </c>
      <c r="BA20" s="161" t="e">
        <f t="shared" si="35"/>
        <v>#DIV/0!</v>
      </c>
      <c r="BB20" s="161" t="e">
        <f t="shared" si="36"/>
        <v>#DIV/0!</v>
      </c>
      <c r="BC20" s="161" t="e">
        <f t="shared" si="37"/>
        <v>#DIV/0!</v>
      </c>
      <c r="BD20" s="162" t="e">
        <f t="shared" si="38"/>
        <v>#DIV/0!</v>
      </c>
      <c r="BF20" s="139">
        <f t="shared" si="14"/>
        <v>0</v>
      </c>
      <c r="BG20" s="140">
        <f t="shared" si="15"/>
        <v>0</v>
      </c>
      <c r="BH20" s="140">
        <f t="shared" si="16"/>
        <v>0</v>
      </c>
      <c r="BI20" s="140">
        <f t="shared" si="17"/>
        <v>0</v>
      </c>
      <c r="BJ20" s="140">
        <f t="shared" si="18"/>
        <v>0</v>
      </c>
      <c r="BK20" s="140">
        <f t="shared" si="19"/>
        <v>0</v>
      </c>
      <c r="BL20" s="140">
        <f t="shared" si="20"/>
        <v>0</v>
      </c>
      <c r="BM20" s="140">
        <f t="shared" si="21"/>
        <v>0</v>
      </c>
      <c r="BN20" s="140">
        <f t="shared" si="22"/>
        <v>0</v>
      </c>
      <c r="BO20" s="140">
        <f t="shared" si="23"/>
        <v>0</v>
      </c>
      <c r="BP20" s="140">
        <f t="shared" si="24"/>
        <v>0</v>
      </c>
      <c r="BQ20" s="140" t="e">
        <f t="shared" si="25"/>
        <v>#DIV/0!</v>
      </c>
      <c r="BR20" s="140">
        <f t="shared" si="26"/>
        <v>30</v>
      </c>
      <c r="BS20" s="141" t="e">
        <f t="shared" si="27"/>
        <v>#DIV/0!</v>
      </c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>
        <f t="shared" si="1"/>
        <v>0</v>
      </c>
      <c r="AO21" s="127">
        <f t="shared" si="1"/>
        <v>0</v>
      </c>
      <c r="AP21" s="128">
        <f t="shared" si="1"/>
        <v>0</v>
      </c>
      <c r="AQ21" s="127">
        <f t="shared" si="1"/>
        <v>0</v>
      </c>
      <c r="AR21" s="128">
        <f t="shared" si="1"/>
        <v>0</v>
      </c>
      <c r="AS21" s="160" t="e">
        <f t="shared" si="28"/>
        <v>#DIV/0!</v>
      </c>
      <c r="AT21" s="122" t="e">
        <f t="shared" si="29"/>
        <v>#DIV/0!</v>
      </c>
      <c r="AU21" s="122" t="e">
        <f t="shared" si="39"/>
        <v>#DIV/0!</v>
      </c>
      <c r="AV21" s="122" t="e">
        <f t="shared" si="30"/>
        <v>#DIV/0!</v>
      </c>
      <c r="AW21" s="122" t="e">
        <f t="shared" si="31"/>
        <v>#DIV/0!</v>
      </c>
      <c r="AX21" s="122" t="e">
        <f t="shared" si="32"/>
        <v>#DIV/0!</v>
      </c>
      <c r="AY21" s="122" t="e">
        <f t="shared" si="33"/>
        <v>#DIV/0!</v>
      </c>
      <c r="AZ21" s="161" t="e">
        <f t="shared" si="34"/>
        <v>#DIV/0!</v>
      </c>
      <c r="BA21" s="161" t="e">
        <f t="shared" si="35"/>
        <v>#DIV/0!</v>
      </c>
      <c r="BB21" s="161" t="e">
        <f t="shared" si="36"/>
        <v>#DIV/0!</v>
      </c>
      <c r="BC21" s="161" t="e">
        <f t="shared" si="37"/>
        <v>#DIV/0!</v>
      </c>
      <c r="BD21" s="162" t="e">
        <f t="shared" si="38"/>
        <v>#DIV/0!</v>
      </c>
      <c r="BF21" s="139">
        <f t="shared" si="14"/>
        <v>0</v>
      </c>
      <c r="BG21" s="140">
        <f t="shared" si="15"/>
        <v>0</v>
      </c>
      <c r="BH21" s="140">
        <f t="shared" si="16"/>
        <v>0</v>
      </c>
      <c r="BI21" s="140">
        <f t="shared" si="17"/>
        <v>0</v>
      </c>
      <c r="BJ21" s="140">
        <f t="shared" si="18"/>
        <v>0</v>
      </c>
      <c r="BK21" s="140">
        <f t="shared" si="19"/>
        <v>0</v>
      </c>
      <c r="BL21" s="140">
        <f t="shared" si="20"/>
        <v>0</v>
      </c>
      <c r="BM21" s="140">
        <f t="shared" si="21"/>
        <v>0</v>
      </c>
      <c r="BN21" s="140">
        <f t="shared" si="22"/>
        <v>0</v>
      </c>
      <c r="BO21" s="140">
        <f t="shared" si="23"/>
        <v>0</v>
      </c>
      <c r="BP21" s="140">
        <f t="shared" si="24"/>
        <v>0</v>
      </c>
      <c r="BQ21" s="140" t="e">
        <f t="shared" si="25"/>
        <v>#DIV/0!</v>
      </c>
      <c r="BR21" s="140">
        <f t="shared" si="26"/>
        <v>30</v>
      </c>
      <c r="BS21" s="141" t="e">
        <f t="shared" si="27"/>
        <v>#DIV/0!</v>
      </c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>
        <f t="shared" si="1"/>
        <v>0</v>
      </c>
      <c r="AO22" s="127">
        <f t="shared" si="1"/>
        <v>0</v>
      </c>
      <c r="AP22" s="128">
        <f t="shared" si="1"/>
        <v>0</v>
      </c>
      <c r="AQ22" s="127">
        <f t="shared" si="1"/>
        <v>0</v>
      </c>
      <c r="AR22" s="128">
        <f t="shared" si="1"/>
        <v>0</v>
      </c>
      <c r="AS22" s="160" t="e">
        <f t="shared" si="28"/>
        <v>#DIV/0!</v>
      </c>
      <c r="AT22" s="122" t="e">
        <f t="shared" si="29"/>
        <v>#DIV/0!</v>
      </c>
      <c r="AU22" s="122" t="e">
        <f t="shared" si="39"/>
        <v>#DIV/0!</v>
      </c>
      <c r="AV22" s="122" t="e">
        <f t="shared" si="30"/>
        <v>#DIV/0!</v>
      </c>
      <c r="AW22" s="122" t="e">
        <f t="shared" si="31"/>
        <v>#DIV/0!</v>
      </c>
      <c r="AX22" s="122" t="e">
        <f t="shared" si="32"/>
        <v>#DIV/0!</v>
      </c>
      <c r="AY22" s="122" t="e">
        <f t="shared" si="33"/>
        <v>#DIV/0!</v>
      </c>
      <c r="AZ22" s="161" t="e">
        <f t="shared" si="34"/>
        <v>#DIV/0!</v>
      </c>
      <c r="BA22" s="161" t="e">
        <f t="shared" si="35"/>
        <v>#DIV/0!</v>
      </c>
      <c r="BB22" s="161" t="e">
        <f t="shared" si="36"/>
        <v>#DIV/0!</v>
      </c>
      <c r="BC22" s="161" t="e">
        <f t="shared" si="37"/>
        <v>#DIV/0!</v>
      </c>
      <c r="BD22" s="162" t="e">
        <f t="shared" si="38"/>
        <v>#DIV/0!</v>
      </c>
      <c r="BF22" s="139">
        <f t="shared" si="14"/>
        <v>0</v>
      </c>
      <c r="BG22" s="140">
        <f t="shared" si="15"/>
        <v>0</v>
      </c>
      <c r="BH22" s="140">
        <f t="shared" si="16"/>
        <v>0</v>
      </c>
      <c r="BI22" s="140">
        <f t="shared" si="17"/>
        <v>0</v>
      </c>
      <c r="BJ22" s="140">
        <f t="shared" si="18"/>
        <v>0</v>
      </c>
      <c r="BK22" s="140">
        <f t="shared" si="19"/>
        <v>0</v>
      </c>
      <c r="BL22" s="140">
        <f t="shared" si="20"/>
        <v>0</v>
      </c>
      <c r="BM22" s="140">
        <f t="shared" si="21"/>
        <v>0</v>
      </c>
      <c r="BN22" s="140">
        <f t="shared" si="22"/>
        <v>0</v>
      </c>
      <c r="BO22" s="140">
        <f t="shared" si="23"/>
        <v>0</v>
      </c>
      <c r="BP22" s="140">
        <f t="shared" si="24"/>
        <v>0</v>
      </c>
      <c r="BQ22" s="140" t="e">
        <f t="shared" si="25"/>
        <v>#DIV/0!</v>
      </c>
      <c r="BR22" s="140">
        <f t="shared" si="26"/>
        <v>30</v>
      </c>
      <c r="BS22" s="141" t="e">
        <f t="shared" si="27"/>
        <v>#DIV/0!</v>
      </c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>
        <f t="shared" si="1"/>
        <v>0</v>
      </c>
      <c r="AO23" s="127">
        <f t="shared" si="1"/>
        <v>0</v>
      </c>
      <c r="AP23" s="128">
        <f t="shared" si="1"/>
        <v>0</v>
      </c>
      <c r="AQ23" s="127">
        <f t="shared" si="1"/>
        <v>0</v>
      </c>
      <c r="AR23" s="128">
        <f t="shared" si="1"/>
        <v>0</v>
      </c>
      <c r="AS23" s="160" t="e">
        <f t="shared" si="28"/>
        <v>#DIV/0!</v>
      </c>
      <c r="AT23" s="122" t="e">
        <f t="shared" si="29"/>
        <v>#DIV/0!</v>
      </c>
      <c r="AU23" s="122" t="e">
        <f t="shared" si="39"/>
        <v>#DIV/0!</v>
      </c>
      <c r="AV23" s="122" t="e">
        <f t="shared" si="30"/>
        <v>#DIV/0!</v>
      </c>
      <c r="AW23" s="122" t="e">
        <f t="shared" si="31"/>
        <v>#DIV/0!</v>
      </c>
      <c r="AX23" s="122" t="e">
        <f t="shared" si="32"/>
        <v>#DIV/0!</v>
      </c>
      <c r="AY23" s="122" t="e">
        <f t="shared" si="33"/>
        <v>#DIV/0!</v>
      </c>
      <c r="AZ23" s="161" t="e">
        <f t="shared" si="34"/>
        <v>#DIV/0!</v>
      </c>
      <c r="BA23" s="161" t="e">
        <f t="shared" si="35"/>
        <v>#DIV/0!</v>
      </c>
      <c r="BB23" s="161" t="e">
        <f t="shared" si="36"/>
        <v>#DIV/0!</v>
      </c>
      <c r="BC23" s="161" t="e">
        <f t="shared" si="37"/>
        <v>#DIV/0!</v>
      </c>
      <c r="BD23" s="162" t="e">
        <f t="shared" si="38"/>
        <v>#DIV/0!</v>
      </c>
      <c r="BF23" s="139">
        <f t="shared" si="14"/>
        <v>0</v>
      </c>
      <c r="BG23" s="140">
        <f t="shared" si="15"/>
        <v>0</v>
      </c>
      <c r="BH23" s="140">
        <f t="shared" si="16"/>
        <v>0</v>
      </c>
      <c r="BI23" s="140">
        <f t="shared" si="17"/>
        <v>0</v>
      </c>
      <c r="BJ23" s="140">
        <f t="shared" si="18"/>
        <v>0</v>
      </c>
      <c r="BK23" s="140">
        <f t="shared" si="19"/>
        <v>0</v>
      </c>
      <c r="BL23" s="140">
        <f t="shared" si="20"/>
        <v>0</v>
      </c>
      <c r="BM23" s="140">
        <f t="shared" si="21"/>
        <v>0</v>
      </c>
      <c r="BN23" s="140">
        <f t="shared" si="22"/>
        <v>0</v>
      </c>
      <c r="BO23" s="140">
        <f t="shared" si="23"/>
        <v>0</v>
      </c>
      <c r="BP23" s="140">
        <f t="shared" si="24"/>
        <v>0</v>
      </c>
      <c r="BQ23" s="140" t="e">
        <f t="shared" si="25"/>
        <v>#DIV/0!</v>
      </c>
      <c r="BR23" s="140">
        <f t="shared" si="26"/>
        <v>30</v>
      </c>
      <c r="BS23" s="141" t="e">
        <f t="shared" si="27"/>
        <v>#DIV/0!</v>
      </c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166"/>
      <c r="AN24" s="151">
        <f t="shared" si="1"/>
        <v>0</v>
      </c>
      <c r="AO24" s="152">
        <f t="shared" si="1"/>
        <v>0</v>
      </c>
      <c r="AP24" s="153">
        <f t="shared" si="1"/>
        <v>0</v>
      </c>
      <c r="AQ24" s="152">
        <f t="shared" si="1"/>
        <v>0</v>
      </c>
      <c r="AR24" s="153">
        <f t="shared" si="1"/>
        <v>0</v>
      </c>
      <c r="AS24" s="167" t="e">
        <f t="shared" si="28"/>
        <v>#DIV/0!</v>
      </c>
      <c r="AT24" s="168" t="e">
        <f t="shared" si="29"/>
        <v>#DIV/0!</v>
      </c>
      <c r="AU24" s="168" t="e">
        <f t="shared" si="39"/>
        <v>#DIV/0!</v>
      </c>
      <c r="AV24" s="168" t="e">
        <f t="shared" si="30"/>
        <v>#DIV/0!</v>
      </c>
      <c r="AW24" s="168" t="e">
        <f t="shared" si="31"/>
        <v>#DIV/0!</v>
      </c>
      <c r="AX24" s="168" t="e">
        <f t="shared" si="32"/>
        <v>#DIV/0!</v>
      </c>
      <c r="AY24" s="168" t="e">
        <f t="shared" si="33"/>
        <v>#DIV/0!</v>
      </c>
      <c r="AZ24" s="169" t="e">
        <f t="shared" si="34"/>
        <v>#DIV/0!</v>
      </c>
      <c r="BA24" s="169" t="e">
        <f t="shared" si="35"/>
        <v>#DIV/0!</v>
      </c>
      <c r="BB24" s="169" t="e">
        <f t="shared" si="36"/>
        <v>#DIV/0!</v>
      </c>
      <c r="BC24" s="169" t="e">
        <f t="shared" si="37"/>
        <v>#DIV/0!</v>
      </c>
      <c r="BD24" s="170" t="e">
        <f t="shared" si="38"/>
        <v>#DIV/0!</v>
      </c>
      <c r="BE24" s="171"/>
      <c r="BF24" s="172">
        <f t="shared" si="14"/>
        <v>0</v>
      </c>
      <c r="BG24" s="173">
        <f t="shared" si="15"/>
        <v>0</v>
      </c>
      <c r="BH24" s="173">
        <f t="shared" si="16"/>
        <v>0</v>
      </c>
      <c r="BI24" s="173">
        <f t="shared" si="17"/>
        <v>0</v>
      </c>
      <c r="BJ24" s="173">
        <f t="shared" si="18"/>
        <v>0</v>
      </c>
      <c r="BK24" s="173">
        <f t="shared" si="19"/>
        <v>0</v>
      </c>
      <c r="BL24" s="173">
        <f t="shared" si="20"/>
        <v>0</v>
      </c>
      <c r="BM24" s="173">
        <f t="shared" si="21"/>
        <v>0</v>
      </c>
      <c r="BN24" s="173">
        <f t="shared" si="22"/>
        <v>0</v>
      </c>
      <c r="BO24" s="173">
        <f t="shared" si="23"/>
        <v>0</v>
      </c>
      <c r="BP24" s="173">
        <f t="shared" si="24"/>
        <v>0</v>
      </c>
      <c r="BQ24" s="173" t="e">
        <f t="shared" si="25"/>
        <v>#DIV/0!</v>
      </c>
      <c r="BR24" s="173">
        <f t="shared" si="26"/>
        <v>30</v>
      </c>
      <c r="BS24" s="174" t="e">
        <f t="shared" si="27"/>
        <v>#DIV/0!</v>
      </c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>
        <f t="shared" si="1"/>
        <v>0</v>
      </c>
      <c r="AO25" s="127">
        <f t="shared" si="1"/>
        <v>0</v>
      </c>
      <c r="AP25" s="128">
        <f t="shared" si="1"/>
        <v>0</v>
      </c>
      <c r="AQ25" s="127">
        <f t="shared" si="1"/>
        <v>0</v>
      </c>
      <c r="AR25" s="128">
        <f t="shared" si="1"/>
        <v>0</v>
      </c>
      <c r="AS25" s="160" t="e">
        <f t="shared" si="28"/>
        <v>#DIV/0!</v>
      </c>
      <c r="AT25" s="122" t="e">
        <f t="shared" si="29"/>
        <v>#DIV/0!</v>
      </c>
      <c r="AU25" s="122" t="e">
        <f t="shared" si="39"/>
        <v>#DIV/0!</v>
      </c>
      <c r="AV25" s="122" t="e">
        <f t="shared" si="30"/>
        <v>#DIV/0!</v>
      </c>
      <c r="AW25" s="122" t="e">
        <f t="shared" ref="AW25:AW31" si="40">(I25-J25)*20/H25</f>
        <v>#DIV/0!</v>
      </c>
      <c r="AX25" s="122" t="e">
        <f t="shared" ref="AX25:AX31" si="41">(K25-L25)*20/H25</f>
        <v>#DIV/0!</v>
      </c>
      <c r="AY25" s="122" t="e">
        <f t="shared" ref="AY25:AY31" si="42">(M25-N25)*20/H25</f>
        <v>#DIV/0!</v>
      </c>
      <c r="AZ25" s="161" t="e">
        <f t="shared" ref="AZ25:AZ31" si="43">(O25-P25)*20/H25</f>
        <v>#DIV/0!</v>
      </c>
      <c r="BA25" s="161" t="e">
        <f t="shared" ref="BA25:BA31" si="44">(Q25-R25)*20/H25</f>
        <v>#DIV/0!</v>
      </c>
      <c r="BB25" s="161" t="e">
        <f t="shared" ref="BB25:BB31" si="45">(S25-T25)*20/H25</f>
        <v>#DIV/0!</v>
      </c>
      <c r="BC25" s="161" t="e">
        <f t="shared" ref="BC25:BC31" si="46">(U25-V25)*20/H25</f>
        <v>#DIV/0!</v>
      </c>
      <c r="BD25" s="162" t="e">
        <f t="shared" ref="BD25:BD31" si="47">(W25-X25)*20/H25</f>
        <v>#DIV/0!</v>
      </c>
      <c r="BE25" s="179"/>
      <c r="BF25" s="163">
        <f t="shared" si="14"/>
        <v>0</v>
      </c>
      <c r="BG25" s="164">
        <f t="shared" si="15"/>
        <v>0</v>
      </c>
      <c r="BH25" s="164">
        <f t="shared" si="16"/>
        <v>0</v>
      </c>
      <c r="BI25" s="164">
        <f t="shared" si="17"/>
        <v>0</v>
      </c>
      <c r="BJ25" s="164">
        <f t="shared" si="18"/>
        <v>0</v>
      </c>
      <c r="BK25" s="164">
        <f t="shared" si="19"/>
        <v>0</v>
      </c>
      <c r="BL25" s="164">
        <f t="shared" si="20"/>
        <v>0</v>
      </c>
      <c r="BM25" s="164">
        <f t="shared" si="21"/>
        <v>0</v>
      </c>
      <c r="BN25" s="164">
        <f t="shared" si="22"/>
        <v>0</v>
      </c>
      <c r="BO25" s="164">
        <f t="shared" si="23"/>
        <v>0</v>
      </c>
      <c r="BP25" s="164">
        <f t="shared" si="24"/>
        <v>0</v>
      </c>
      <c r="BQ25" s="164" t="e">
        <f t="shared" si="25"/>
        <v>#DIV/0!</v>
      </c>
      <c r="BR25" s="164">
        <f t="shared" si="26"/>
        <v>30</v>
      </c>
      <c r="BS25" s="165" t="e">
        <f t="shared" si="27"/>
        <v>#DIV/0!</v>
      </c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>
        <f t="shared" si="1"/>
        <v>0</v>
      </c>
      <c r="AO26" s="127">
        <f t="shared" si="1"/>
        <v>0</v>
      </c>
      <c r="AP26" s="128">
        <f t="shared" si="1"/>
        <v>0</v>
      </c>
      <c r="AQ26" s="127">
        <f t="shared" si="1"/>
        <v>0</v>
      </c>
      <c r="AR26" s="128">
        <f t="shared" si="1"/>
        <v>0</v>
      </c>
      <c r="AS26" s="160" t="e">
        <f t="shared" si="28"/>
        <v>#DIV/0!</v>
      </c>
      <c r="AT26" s="122" t="e">
        <f t="shared" si="29"/>
        <v>#DIV/0!</v>
      </c>
      <c r="AU26" s="122" t="e">
        <f t="shared" si="39"/>
        <v>#DIV/0!</v>
      </c>
      <c r="AV26" s="122" t="e">
        <f t="shared" si="30"/>
        <v>#DIV/0!</v>
      </c>
      <c r="AW26" s="122" t="e">
        <f t="shared" si="40"/>
        <v>#DIV/0!</v>
      </c>
      <c r="AX26" s="122" t="e">
        <f t="shared" si="41"/>
        <v>#DIV/0!</v>
      </c>
      <c r="AY26" s="122" t="e">
        <f t="shared" si="42"/>
        <v>#DIV/0!</v>
      </c>
      <c r="AZ26" s="161" t="e">
        <f t="shared" si="43"/>
        <v>#DIV/0!</v>
      </c>
      <c r="BA26" s="161" t="e">
        <f t="shared" si="44"/>
        <v>#DIV/0!</v>
      </c>
      <c r="BB26" s="161" t="e">
        <f t="shared" si="45"/>
        <v>#DIV/0!</v>
      </c>
      <c r="BC26" s="161" t="e">
        <f t="shared" si="46"/>
        <v>#DIV/0!</v>
      </c>
      <c r="BD26" s="162" t="e">
        <f t="shared" si="47"/>
        <v>#DIV/0!</v>
      </c>
      <c r="BE26" s="179"/>
      <c r="BF26" s="139">
        <f t="shared" si="14"/>
        <v>0</v>
      </c>
      <c r="BG26" s="140">
        <f t="shared" si="15"/>
        <v>0</v>
      </c>
      <c r="BH26" s="140">
        <f t="shared" si="16"/>
        <v>0</v>
      </c>
      <c r="BI26" s="140">
        <f t="shared" si="17"/>
        <v>0</v>
      </c>
      <c r="BJ26" s="140">
        <f t="shared" si="18"/>
        <v>0</v>
      </c>
      <c r="BK26" s="140">
        <f t="shared" si="19"/>
        <v>0</v>
      </c>
      <c r="BL26" s="140">
        <f t="shared" si="20"/>
        <v>0</v>
      </c>
      <c r="BM26" s="140">
        <f t="shared" si="21"/>
        <v>0</v>
      </c>
      <c r="BN26" s="140">
        <f t="shared" si="22"/>
        <v>0</v>
      </c>
      <c r="BO26" s="140">
        <f t="shared" si="23"/>
        <v>0</v>
      </c>
      <c r="BP26" s="140">
        <f t="shared" si="24"/>
        <v>0</v>
      </c>
      <c r="BQ26" s="140" t="e">
        <f t="shared" si="25"/>
        <v>#DIV/0!</v>
      </c>
      <c r="BR26" s="140">
        <f t="shared" si="26"/>
        <v>30</v>
      </c>
      <c r="BS26" s="141" t="e">
        <f t="shared" si="27"/>
        <v>#DIV/0!</v>
      </c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>
        <f t="shared" si="1"/>
        <v>0</v>
      </c>
      <c r="AO27" s="127">
        <f t="shared" si="1"/>
        <v>0</v>
      </c>
      <c r="AP27" s="128">
        <f t="shared" si="1"/>
        <v>0</v>
      </c>
      <c r="AQ27" s="127">
        <f t="shared" si="1"/>
        <v>0</v>
      </c>
      <c r="AR27" s="128">
        <f t="shared" si="1"/>
        <v>0</v>
      </c>
      <c r="AS27" s="160" t="e">
        <f t="shared" si="28"/>
        <v>#DIV/0!</v>
      </c>
      <c r="AT27" s="122" t="e">
        <f t="shared" si="29"/>
        <v>#DIV/0!</v>
      </c>
      <c r="AU27" s="122" t="e">
        <f t="shared" si="39"/>
        <v>#DIV/0!</v>
      </c>
      <c r="AV27" s="122" t="e">
        <f t="shared" si="30"/>
        <v>#DIV/0!</v>
      </c>
      <c r="AW27" s="122" t="e">
        <f t="shared" si="40"/>
        <v>#DIV/0!</v>
      </c>
      <c r="AX27" s="122" t="e">
        <f t="shared" si="41"/>
        <v>#DIV/0!</v>
      </c>
      <c r="AY27" s="122" t="e">
        <f t="shared" si="42"/>
        <v>#DIV/0!</v>
      </c>
      <c r="AZ27" s="161" t="e">
        <f t="shared" si="43"/>
        <v>#DIV/0!</v>
      </c>
      <c r="BA27" s="161" t="e">
        <f t="shared" si="44"/>
        <v>#DIV/0!</v>
      </c>
      <c r="BB27" s="161" t="e">
        <f t="shared" si="45"/>
        <v>#DIV/0!</v>
      </c>
      <c r="BC27" s="161" t="e">
        <f t="shared" si="46"/>
        <v>#DIV/0!</v>
      </c>
      <c r="BD27" s="162" t="e">
        <f t="shared" si="47"/>
        <v>#DIV/0!</v>
      </c>
      <c r="BE27" s="179"/>
      <c r="BF27" s="139">
        <f t="shared" si="14"/>
        <v>0</v>
      </c>
      <c r="BG27" s="140">
        <f t="shared" si="15"/>
        <v>0</v>
      </c>
      <c r="BH27" s="140">
        <f t="shared" si="16"/>
        <v>0</v>
      </c>
      <c r="BI27" s="140">
        <f t="shared" si="17"/>
        <v>0</v>
      </c>
      <c r="BJ27" s="140">
        <f t="shared" si="18"/>
        <v>0</v>
      </c>
      <c r="BK27" s="140">
        <f t="shared" si="19"/>
        <v>0</v>
      </c>
      <c r="BL27" s="140">
        <f t="shared" si="20"/>
        <v>0</v>
      </c>
      <c r="BM27" s="140">
        <f t="shared" si="21"/>
        <v>0</v>
      </c>
      <c r="BN27" s="140">
        <f t="shared" si="22"/>
        <v>0</v>
      </c>
      <c r="BO27" s="140">
        <f t="shared" si="23"/>
        <v>0</v>
      </c>
      <c r="BP27" s="140">
        <f t="shared" si="24"/>
        <v>0</v>
      </c>
      <c r="BQ27" s="140" t="e">
        <f t="shared" si="25"/>
        <v>#DIV/0!</v>
      </c>
      <c r="BR27" s="140">
        <f t="shared" si="26"/>
        <v>30</v>
      </c>
      <c r="BS27" s="141" t="e">
        <f t="shared" si="27"/>
        <v>#DIV/0!</v>
      </c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>
        <f t="shared" si="1"/>
        <v>0</v>
      </c>
      <c r="AO28" s="127">
        <f t="shared" si="1"/>
        <v>0</v>
      </c>
      <c r="AP28" s="128">
        <f t="shared" si="1"/>
        <v>0</v>
      </c>
      <c r="AQ28" s="127">
        <f t="shared" si="1"/>
        <v>0</v>
      </c>
      <c r="AR28" s="128">
        <f t="shared" si="1"/>
        <v>0</v>
      </c>
      <c r="AS28" s="160" t="e">
        <f t="shared" si="28"/>
        <v>#DIV/0!</v>
      </c>
      <c r="AT28" s="122" t="e">
        <f t="shared" si="29"/>
        <v>#DIV/0!</v>
      </c>
      <c r="AU28" s="122" t="e">
        <f t="shared" si="39"/>
        <v>#DIV/0!</v>
      </c>
      <c r="AV28" s="122" t="e">
        <f t="shared" si="30"/>
        <v>#DIV/0!</v>
      </c>
      <c r="AW28" s="122" t="e">
        <f t="shared" si="40"/>
        <v>#DIV/0!</v>
      </c>
      <c r="AX28" s="122" t="e">
        <f t="shared" si="41"/>
        <v>#DIV/0!</v>
      </c>
      <c r="AY28" s="122" t="e">
        <f t="shared" si="42"/>
        <v>#DIV/0!</v>
      </c>
      <c r="AZ28" s="161" t="e">
        <f t="shared" si="43"/>
        <v>#DIV/0!</v>
      </c>
      <c r="BA28" s="161" t="e">
        <f t="shared" si="44"/>
        <v>#DIV/0!</v>
      </c>
      <c r="BB28" s="161" t="e">
        <f t="shared" si="45"/>
        <v>#DIV/0!</v>
      </c>
      <c r="BC28" s="161" t="e">
        <f t="shared" si="46"/>
        <v>#DIV/0!</v>
      </c>
      <c r="BD28" s="162" t="e">
        <f t="shared" si="47"/>
        <v>#DIV/0!</v>
      </c>
      <c r="BE28" s="179"/>
      <c r="BF28" s="139">
        <f t="shared" si="14"/>
        <v>0</v>
      </c>
      <c r="BG28" s="140">
        <f t="shared" si="15"/>
        <v>0</v>
      </c>
      <c r="BH28" s="140">
        <f t="shared" si="16"/>
        <v>0</v>
      </c>
      <c r="BI28" s="140">
        <f t="shared" si="17"/>
        <v>0</v>
      </c>
      <c r="BJ28" s="140">
        <f t="shared" si="18"/>
        <v>0</v>
      </c>
      <c r="BK28" s="140">
        <f t="shared" si="19"/>
        <v>0</v>
      </c>
      <c r="BL28" s="140">
        <f t="shared" si="20"/>
        <v>0</v>
      </c>
      <c r="BM28" s="140">
        <f t="shared" si="21"/>
        <v>0</v>
      </c>
      <c r="BN28" s="140">
        <f t="shared" si="22"/>
        <v>0</v>
      </c>
      <c r="BO28" s="140">
        <f t="shared" si="23"/>
        <v>0</v>
      </c>
      <c r="BP28" s="140">
        <f t="shared" si="24"/>
        <v>0</v>
      </c>
      <c r="BQ28" s="140" t="e">
        <f t="shared" si="25"/>
        <v>#DIV/0!</v>
      </c>
      <c r="BR28" s="140">
        <f t="shared" si="26"/>
        <v>30</v>
      </c>
      <c r="BS28" s="141" t="e">
        <f t="shared" si="27"/>
        <v>#DIV/0!</v>
      </c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>
        <f t="shared" si="1"/>
        <v>0</v>
      </c>
      <c r="AO29" s="127">
        <f t="shared" si="1"/>
        <v>0</v>
      </c>
      <c r="AP29" s="128">
        <f t="shared" si="1"/>
        <v>0</v>
      </c>
      <c r="AQ29" s="127">
        <f t="shared" si="1"/>
        <v>0</v>
      </c>
      <c r="AR29" s="128">
        <f t="shared" si="1"/>
        <v>0</v>
      </c>
      <c r="AS29" s="160" t="e">
        <f t="shared" si="28"/>
        <v>#DIV/0!</v>
      </c>
      <c r="AT29" s="122" t="e">
        <f t="shared" si="29"/>
        <v>#DIV/0!</v>
      </c>
      <c r="AU29" s="122" t="e">
        <f t="shared" si="39"/>
        <v>#DIV/0!</v>
      </c>
      <c r="AV29" s="122" t="e">
        <f t="shared" si="30"/>
        <v>#DIV/0!</v>
      </c>
      <c r="AW29" s="122" t="e">
        <f t="shared" si="40"/>
        <v>#DIV/0!</v>
      </c>
      <c r="AX29" s="122" t="e">
        <f t="shared" si="41"/>
        <v>#DIV/0!</v>
      </c>
      <c r="AY29" s="122" t="e">
        <f t="shared" si="42"/>
        <v>#DIV/0!</v>
      </c>
      <c r="AZ29" s="161" t="e">
        <f t="shared" si="43"/>
        <v>#DIV/0!</v>
      </c>
      <c r="BA29" s="161" t="e">
        <f t="shared" si="44"/>
        <v>#DIV/0!</v>
      </c>
      <c r="BB29" s="161" t="e">
        <f t="shared" si="45"/>
        <v>#DIV/0!</v>
      </c>
      <c r="BC29" s="161" t="e">
        <f t="shared" si="46"/>
        <v>#DIV/0!</v>
      </c>
      <c r="BD29" s="162" t="e">
        <f t="shared" si="47"/>
        <v>#DIV/0!</v>
      </c>
      <c r="BE29" s="179"/>
      <c r="BF29" s="139">
        <f t="shared" si="14"/>
        <v>0</v>
      </c>
      <c r="BG29" s="140">
        <f t="shared" si="15"/>
        <v>0</v>
      </c>
      <c r="BH29" s="140">
        <f t="shared" si="16"/>
        <v>0</v>
      </c>
      <c r="BI29" s="140">
        <f t="shared" si="17"/>
        <v>0</v>
      </c>
      <c r="BJ29" s="140">
        <f t="shared" si="18"/>
        <v>0</v>
      </c>
      <c r="BK29" s="140">
        <f t="shared" si="19"/>
        <v>0</v>
      </c>
      <c r="BL29" s="140">
        <f t="shared" si="20"/>
        <v>0</v>
      </c>
      <c r="BM29" s="140">
        <f t="shared" si="21"/>
        <v>0</v>
      </c>
      <c r="BN29" s="140">
        <f t="shared" si="22"/>
        <v>0</v>
      </c>
      <c r="BO29" s="140">
        <f t="shared" si="23"/>
        <v>0</v>
      </c>
      <c r="BP29" s="140">
        <f t="shared" si="24"/>
        <v>0</v>
      </c>
      <c r="BQ29" s="140" t="e">
        <f t="shared" si="25"/>
        <v>#DIV/0!</v>
      </c>
      <c r="BR29" s="140">
        <f t="shared" si="26"/>
        <v>30</v>
      </c>
      <c r="BS29" s="141" t="e">
        <f t="shared" si="27"/>
        <v>#DIV/0!</v>
      </c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>
        <f t="shared" si="1"/>
        <v>0</v>
      </c>
      <c r="AO30" s="127">
        <f t="shared" si="1"/>
        <v>0</v>
      </c>
      <c r="AP30" s="128">
        <f t="shared" si="1"/>
        <v>0</v>
      </c>
      <c r="AQ30" s="127">
        <f t="shared" si="1"/>
        <v>0</v>
      </c>
      <c r="AR30" s="128">
        <f t="shared" si="1"/>
        <v>0</v>
      </c>
      <c r="AS30" s="160" t="e">
        <f t="shared" si="28"/>
        <v>#DIV/0!</v>
      </c>
      <c r="AT30" s="122" t="e">
        <f t="shared" si="29"/>
        <v>#DIV/0!</v>
      </c>
      <c r="AU30" s="122" t="e">
        <f t="shared" si="39"/>
        <v>#DIV/0!</v>
      </c>
      <c r="AV30" s="122" t="e">
        <f t="shared" si="30"/>
        <v>#DIV/0!</v>
      </c>
      <c r="AW30" s="122" t="e">
        <f t="shared" si="40"/>
        <v>#DIV/0!</v>
      </c>
      <c r="AX30" s="122" t="e">
        <f t="shared" si="41"/>
        <v>#DIV/0!</v>
      </c>
      <c r="AY30" s="122" t="e">
        <f t="shared" si="42"/>
        <v>#DIV/0!</v>
      </c>
      <c r="AZ30" s="161" t="e">
        <f t="shared" si="43"/>
        <v>#DIV/0!</v>
      </c>
      <c r="BA30" s="161" t="e">
        <f t="shared" si="44"/>
        <v>#DIV/0!</v>
      </c>
      <c r="BB30" s="161" t="e">
        <f t="shared" si="45"/>
        <v>#DIV/0!</v>
      </c>
      <c r="BC30" s="161" t="e">
        <f t="shared" si="46"/>
        <v>#DIV/0!</v>
      </c>
      <c r="BD30" s="162" t="e">
        <f t="shared" si="47"/>
        <v>#DIV/0!</v>
      </c>
      <c r="BE30" s="179"/>
      <c r="BF30" s="139">
        <f t="shared" si="14"/>
        <v>0</v>
      </c>
      <c r="BG30" s="140">
        <f t="shared" si="15"/>
        <v>0</v>
      </c>
      <c r="BH30" s="140">
        <f t="shared" si="16"/>
        <v>0</v>
      </c>
      <c r="BI30" s="140">
        <f t="shared" si="17"/>
        <v>0</v>
      </c>
      <c r="BJ30" s="140">
        <f t="shared" si="18"/>
        <v>0</v>
      </c>
      <c r="BK30" s="140">
        <f t="shared" si="19"/>
        <v>0</v>
      </c>
      <c r="BL30" s="140">
        <f t="shared" si="20"/>
        <v>0</v>
      </c>
      <c r="BM30" s="140">
        <f t="shared" si="21"/>
        <v>0</v>
      </c>
      <c r="BN30" s="140">
        <f t="shared" si="22"/>
        <v>0</v>
      </c>
      <c r="BO30" s="140">
        <f t="shared" si="23"/>
        <v>0</v>
      </c>
      <c r="BP30" s="140">
        <f t="shared" si="24"/>
        <v>0</v>
      </c>
      <c r="BQ30" s="140" t="e">
        <f t="shared" si="25"/>
        <v>#DIV/0!</v>
      </c>
      <c r="BR30" s="140">
        <f t="shared" si="26"/>
        <v>30</v>
      </c>
      <c r="BS30" s="141" t="e">
        <f t="shared" si="27"/>
        <v>#DIV/0!</v>
      </c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>
        <f t="shared" si="1"/>
        <v>0</v>
      </c>
      <c r="AO31" s="152">
        <f t="shared" si="1"/>
        <v>0</v>
      </c>
      <c r="AP31" s="153">
        <f t="shared" si="1"/>
        <v>0</v>
      </c>
      <c r="AQ31" s="152">
        <f t="shared" si="1"/>
        <v>0</v>
      </c>
      <c r="AR31" s="153">
        <f t="shared" si="1"/>
        <v>0</v>
      </c>
      <c r="AS31" s="183" t="e">
        <f t="shared" si="28"/>
        <v>#DIV/0!</v>
      </c>
      <c r="AT31" s="148" t="e">
        <f t="shared" si="29"/>
        <v>#DIV/0!</v>
      </c>
      <c r="AU31" s="148" t="e">
        <f t="shared" si="39"/>
        <v>#DIV/0!</v>
      </c>
      <c r="AV31" s="148" t="e">
        <f t="shared" si="30"/>
        <v>#DIV/0!</v>
      </c>
      <c r="AW31" s="148" t="e">
        <f t="shared" si="40"/>
        <v>#DIV/0!</v>
      </c>
      <c r="AX31" s="148" t="e">
        <f t="shared" si="41"/>
        <v>#DIV/0!</v>
      </c>
      <c r="AY31" s="148" t="e">
        <f t="shared" si="42"/>
        <v>#DIV/0!</v>
      </c>
      <c r="AZ31" s="184" t="e">
        <f t="shared" si="43"/>
        <v>#DIV/0!</v>
      </c>
      <c r="BA31" s="184" t="e">
        <f t="shared" si="44"/>
        <v>#DIV/0!</v>
      </c>
      <c r="BB31" s="184" t="e">
        <f t="shared" si="45"/>
        <v>#DIV/0!</v>
      </c>
      <c r="BC31" s="184" t="e">
        <f t="shared" si="46"/>
        <v>#DIV/0!</v>
      </c>
      <c r="BD31" s="185" t="e">
        <f t="shared" si="47"/>
        <v>#DIV/0!</v>
      </c>
      <c r="BE31" s="179"/>
      <c r="BF31" s="139">
        <f t="shared" si="14"/>
        <v>0</v>
      </c>
      <c r="BG31" s="140">
        <f t="shared" si="15"/>
        <v>0</v>
      </c>
      <c r="BH31" s="140">
        <f t="shared" si="16"/>
        <v>0</v>
      </c>
      <c r="BI31" s="140">
        <f t="shared" si="17"/>
        <v>0</v>
      </c>
      <c r="BJ31" s="140">
        <f t="shared" si="18"/>
        <v>0</v>
      </c>
      <c r="BK31" s="140">
        <f t="shared" si="19"/>
        <v>0</v>
      </c>
      <c r="BL31" s="140">
        <f t="shared" si="20"/>
        <v>0</v>
      </c>
      <c r="BM31" s="140">
        <f t="shared" si="21"/>
        <v>0</v>
      </c>
      <c r="BN31" s="140">
        <f t="shared" si="22"/>
        <v>0</v>
      </c>
      <c r="BO31" s="140">
        <f t="shared" si="23"/>
        <v>0</v>
      </c>
      <c r="BP31" s="140">
        <f t="shared" si="24"/>
        <v>0</v>
      </c>
      <c r="BQ31" s="140" t="e">
        <f t="shared" si="25"/>
        <v>#DIV/0!</v>
      </c>
      <c r="BR31" s="140">
        <f t="shared" si="26"/>
        <v>30</v>
      </c>
      <c r="BS31" s="141" t="e">
        <f t="shared" si="27"/>
        <v>#DIV/0!</v>
      </c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>
        <f t="shared" si="1"/>
        <v>0</v>
      </c>
      <c r="AO32" s="127">
        <f t="shared" si="1"/>
        <v>0</v>
      </c>
      <c r="AP32" s="128">
        <f t="shared" si="1"/>
        <v>0</v>
      </c>
      <c r="AQ32" s="127">
        <f t="shared" si="1"/>
        <v>0</v>
      </c>
      <c r="AR32" s="128">
        <f t="shared" si="1"/>
        <v>0</v>
      </c>
      <c r="AS32" s="160" t="e">
        <f t="shared" si="28"/>
        <v>#DIV/0!</v>
      </c>
      <c r="AT32" s="122" t="e">
        <f t="shared" si="29"/>
        <v>#DIV/0!</v>
      </c>
      <c r="AU32" s="122" t="e">
        <f t="shared" si="39"/>
        <v>#DIV/0!</v>
      </c>
      <c r="AV32" s="122" t="e">
        <f t="shared" si="30"/>
        <v>#DIV/0!</v>
      </c>
      <c r="AW32" s="122" t="e">
        <f t="shared" ref="AW32:AW38" si="48">(I32-J32)*40/H32</f>
        <v>#DIV/0!</v>
      </c>
      <c r="AX32" s="122" t="e">
        <f t="shared" ref="AX32:AX38" si="49">(K32-L32)*40/H32</f>
        <v>#DIV/0!</v>
      </c>
      <c r="AY32" s="122" t="e">
        <f t="shared" ref="AY32:AY38" si="50">(M32-N32)*40/H32</f>
        <v>#DIV/0!</v>
      </c>
      <c r="AZ32" s="161" t="e">
        <f t="shared" ref="AZ32:AZ38" si="51">(O32-P32)*40/H32</f>
        <v>#DIV/0!</v>
      </c>
      <c r="BA32" s="161" t="e">
        <f t="shared" ref="BA32:BA38" si="52">(Q32-R32)*40/H32</f>
        <v>#DIV/0!</v>
      </c>
      <c r="BB32" s="161" t="e">
        <f t="shared" ref="BB32:BB38" si="53">(S32-T32)*40/H32</f>
        <v>#DIV/0!</v>
      </c>
      <c r="BC32" s="161" t="e">
        <f t="shared" ref="BC32:BC38" si="54">(U32-V32)*40/H32</f>
        <v>#DIV/0!</v>
      </c>
      <c r="BD32" s="162" t="e">
        <f t="shared" ref="BD32:BD38" si="55">(W32-X32)*40/H32</f>
        <v>#DIV/0!</v>
      </c>
      <c r="BE32" s="179"/>
      <c r="BF32" s="139">
        <f t="shared" si="14"/>
        <v>0</v>
      </c>
      <c r="BG32" s="140">
        <f t="shared" si="15"/>
        <v>0</v>
      </c>
      <c r="BH32" s="140">
        <f t="shared" si="16"/>
        <v>0</v>
      </c>
      <c r="BI32" s="140">
        <f t="shared" si="17"/>
        <v>0</v>
      </c>
      <c r="BJ32" s="140">
        <f t="shared" si="18"/>
        <v>0</v>
      </c>
      <c r="BK32" s="140">
        <f t="shared" si="19"/>
        <v>0</v>
      </c>
      <c r="BL32" s="140">
        <f t="shared" si="20"/>
        <v>0</v>
      </c>
      <c r="BM32" s="140">
        <f t="shared" si="21"/>
        <v>0</v>
      </c>
      <c r="BN32" s="140">
        <f t="shared" si="22"/>
        <v>0</v>
      </c>
      <c r="BO32" s="140">
        <f t="shared" si="23"/>
        <v>0</v>
      </c>
      <c r="BP32" s="140">
        <f t="shared" si="24"/>
        <v>0</v>
      </c>
      <c r="BQ32" s="140" t="e">
        <f t="shared" si="25"/>
        <v>#DIV/0!</v>
      </c>
      <c r="BR32" s="140">
        <f t="shared" si="26"/>
        <v>30</v>
      </c>
      <c r="BS32" s="141" t="e">
        <f t="shared" si="27"/>
        <v>#DIV/0!</v>
      </c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>
        <f t="shared" si="1"/>
        <v>0</v>
      </c>
      <c r="AO33" s="127">
        <f t="shared" si="1"/>
        <v>0</v>
      </c>
      <c r="AP33" s="128">
        <f t="shared" si="1"/>
        <v>0</v>
      </c>
      <c r="AQ33" s="127">
        <f t="shared" si="1"/>
        <v>0</v>
      </c>
      <c r="AR33" s="128">
        <f t="shared" si="1"/>
        <v>0</v>
      </c>
      <c r="AS33" s="160" t="e">
        <f t="shared" si="28"/>
        <v>#DIV/0!</v>
      </c>
      <c r="AT33" s="122" t="e">
        <f t="shared" si="29"/>
        <v>#DIV/0!</v>
      </c>
      <c r="AU33" s="122" t="e">
        <f t="shared" si="39"/>
        <v>#DIV/0!</v>
      </c>
      <c r="AV33" s="122" t="e">
        <f t="shared" si="30"/>
        <v>#DIV/0!</v>
      </c>
      <c r="AW33" s="122" t="e">
        <f t="shared" si="48"/>
        <v>#DIV/0!</v>
      </c>
      <c r="AX33" s="122" t="e">
        <f t="shared" si="49"/>
        <v>#DIV/0!</v>
      </c>
      <c r="AY33" s="122" t="e">
        <f t="shared" si="50"/>
        <v>#DIV/0!</v>
      </c>
      <c r="AZ33" s="161" t="e">
        <f t="shared" si="51"/>
        <v>#DIV/0!</v>
      </c>
      <c r="BA33" s="161" t="e">
        <f t="shared" si="52"/>
        <v>#DIV/0!</v>
      </c>
      <c r="BB33" s="161" t="e">
        <f t="shared" si="53"/>
        <v>#DIV/0!</v>
      </c>
      <c r="BC33" s="161" t="e">
        <f t="shared" si="54"/>
        <v>#DIV/0!</v>
      </c>
      <c r="BD33" s="162" t="e">
        <f t="shared" si="55"/>
        <v>#DIV/0!</v>
      </c>
      <c r="BE33" s="179"/>
      <c r="BF33" s="139">
        <f t="shared" si="14"/>
        <v>0</v>
      </c>
      <c r="BG33" s="140">
        <f t="shared" si="15"/>
        <v>0</v>
      </c>
      <c r="BH33" s="140">
        <f t="shared" si="16"/>
        <v>0</v>
      </c>
      <c r="BI33" s="140">
        <f t="shared" si="17"/>
        <v>0</v>
      </c>
      <c r="BJ33" s="140">
        <f t="shared" si="18"/>
        <v>0</v>
      </c>
      <c r="BK33" s="140">
        <f t="shared" si="19"/>
        <v>0</v>
      </c>
      <c r="BL33" s="140">
        <f t="shared" si="20"/>
        <v>0</v>
      </c>
      <c r="BM33" s="140">
        <f t="shared" si="21"/>
        <v>0</v>
      </c>
      <c r="BN33" s="140">
        <f t="shared" si="22"/>
        <v>0</v>
      </c>
      <c r="BO33" s="140">
        <f t="shared" si="23"/>
        <v>0</v>
      </c>
      <c r="BP33" s="140">
        <f t="shared" si="24"/>
        <v>0</v>
      </c>
      <c r="BQ33" s="140" t="e">
        <f t="shared" si="25"/>
        <v>#DIV/0!</v>
      </c>
      <c r="BR33" s="140">
        <f t="shared" si="26"/>
        <v>30</v>
      </c>
      <c r="BS33" s="141" t="e">
        <f t="shared" si="27"/>
        <v>#DIV/0!</v>
      </c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>
        <f t="shared" si="1"/>
        <v>0</v>
      </c>
      <c r="AO34" s="127">
        <f t="shared" si="1"/>
        <v>0</v>
      </c>
      <c r="AP34" s="128">
        <f t="shared" si="1"/>
        <v>0</v>
      </c>
      <c r="AQ34" s="127">
        <f t="shared" si="1"/>
        <v>0</v>
      </c>
      <c r="AR34" s="128">
        <f t="shared" si="1"/>
        <v>0</v>
      </c>
      <c r="AS34" s="160" t="e">
        <f t="shared" si="28"/>
        <v>#DIV/0!</v>
      </c>
      <c r="AT34" s="122" t="e">
        <f t="shared" si="29"/>
        <v>#DIV/0!</v>
      </c>
      <c r="AU34" s="122" t="e">
        <f t="shared" si="39"/>
        <v>#DIV/0!</v>
      </c>
      <c r="AV34" s="122" t="e">
        <f t="shared" si="30"/>
        <v>#DIV/0!</v>
      </c>
      <c r="AW34" s="122" t="e">
        <f t="shared" si="48"/>
        <v>#DIV/0!</v>
      </c>
      <c r="AX34" s="122" t="e">
        <f t="shared" si="49"/>
        <v>#DIV/0!</v>
      </c>
      <c r="AY34" s="122" t="e">
        <f t="shared" si="50"/>
        <v>#DIV/0!</v>
      </c>
      <c r="AZ34" s="161" t="e">
        <f t="shared" si="51"/>
        <v>#DIV/0!</v>
      </c>
      <c r="BA34" s="161" t="e">
        <f t="shared" si="52"/>
        <v>#DIV/0!</v>
      </c>
      <c r="BB34" s="161" t="e">
        <f t="shared" si="53"/>
        <v>#DIV/0!</v>
      </c>
      <c r="BC34" s="161" t="e">
        <f t="shared" si="54"/>
        <v>#DIV/0!</v>
      </c>
      <c r="BD34" s="162" t="e">
        <f t="shared" si="55"/>
        <v>#DIV/0!</v>
      </c>
      <c r="BE34" s="179"/>
      <c r="BF34" s="139">
        <f t="shared" si="14"/>
        <v>0</v>
      </c>
      <c r="BG34" s="140">
        <f t="shared" si="15"/>
        <v>0</v>
      </c>
      <c r="BH34" s="140">
        <f t="shared" si="16"/>
        <v>0</v>
      </c>
      <c r="BI34" s="140">
        <f t="shared" si="17"/>
        <v>0</v>
      </c>
      <c r="BJ34" s="140">
        <f t="shared" si="18"/>
        <v>0</v>
      </c>
      <c r="BK34" s="140">
        <f t="shared" si="19"/>
        <v>0</v>
      </c>
      <c r="BL34" s="140">
        <f t="shared" si="20"/>
        <v>0</v>
      </c>
      <c r="BM34" s="140">
        <f t="shared" si="21"/>
        <v>0</v>
      </c>
      <c r="BN34" s="140">
        <f t="shared" si="22"/>
        <v>0</v>
      </c>
      <c r="BO34" s="140">
        <f t="shared" si="23"/>
        <v>0</v>
      </c>
      <c r="BP34" s="140">
        <f t="shared" si="24"/>
        <v>0</v>
      </c>
      <c r="BQ34" s="140" t="e">
        <f t="shared" si="25"/>
        <v>#DIV/0!</v>
      </c>
      <c r="BR34" s="140">
        <f t="shared" si="26"/>
        <v>30</v>
      </c>
      <c r="BS34" s="141" t="e">
        <f t="shared" si="27"/>
        <v>#DIV/0!</v>
      </c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>
        <f t="shared" si="1"/>
        <v>0</v>
      </c>
      <c r="AO35" s="127">
        <f t="shared" si="1"/>
        <v>0</v>
      </c>
      <c r="AP35" s="128">
        <f t="shared" si="1"/>
        <v>0</v>
      </c>
      <c r="AQ35" s="127">
        <f t="shared" si="1"/>
        <v>0</v>
      </c>
      <c r="AR35" s="128">
        <f t="shared" si="1"/>
        <v>0</v>
      </c>
      <c r="AS35" s="160" t="e">
        <f t="shared" si="28"/>
        <v>#DIV/0!</v>
      </c>
      <c r="AT35" s="122" t="e">
        <f t="shared" si="29"/>
        <v>#DIV/0!</v>
      </c>
      <c r="AU35" s="122" t="e">
        <f t="shared" si="39"/>
        <v>#DIV/0!</v>
      </c>
      <c r="AV35" s="122" t="e">
        <f t="shared" si="30"/>
        <v>#DIV/0!</v>
      </c>
      <c r="AW35" s="122" t="e">
        <f t="shared" si="48"/>
        <v>#DIV/0!</v>
      </c>
      <c r="AX35" s="122" t="e">
        <f t="shared" si="49"/>
        <v>#DIV/0!</v>
      </c>
      <c r="AY35" s="122" t="e">
        <f t="shared" si="50"/>
        <v>#DIV/0!</v>
      </c>
      <c r="AZ35" s="161" t="e">
        <f t="shared" si="51"/>
        <v>#DIV/0!</v>
      </c>
      <c r="BA35" s="161" t="e">
        <f t="shared" si="52"/>
        <v>#DIV/0!</v>
      </c>
      <c r="BB35" s="161" t="e">
        <f t="shared" si="53"/>
        <v>#DIV/0!</v>
      </c>
      <c r="BC35" s="161" t="e">
        <f t="shared" si="54"/>
        <v>#DIV/0!</v>
      </c>
      <c r="BD35" s="162" t="e">
        <f t="shared" si="55"/>
        <v>#DIV/0!</v>
      </c>
      <c r="BE35" s="179"/>
      <c r="BF35" s="139">
        <f t="shared" si="14"/>
        <v>0</v>
      </c>
      <c r="BG35" s="140">
        <f t="shared" si="15"/>
        <v>0</v>
      </c>
      <c r="BH35" s="140">
        <f t="shared" si="16"/>
        <v>0</v>
      </c>
      <c r="BI35" s="140">
        <f t="shared" si="17"/>
        <v>0</v>
      </c>
      <c r="BJ35" s="140">
        <f t="shared" si="18"/>
        <v>0</v>
      </c>
      <c r="BK35" s="140">
        <f t="shared" si="19"/>
        <v>0</v>
      </c>
      <c r="BL35" s="140">
        <f t="shared" si="20"/>
        <v>0</v>
      </c>
      <c r="BM35" s="140">
        <f t="shared" si="21"/>
        <v>0</v>
      </c>
      <c r="BN35" s="140">
        <f t="shared" si="22"/>
        <v>0</v>
      </c>
      <c r="BO35" s="140">
        <f t="shared" si="23"/>
        <v>0</v>
      </c>
      <c r="BP35" s="140">
        <f t="shared" si="24"/>
        <v>0</v>
      </c>
      <c r="BQ35" s="140" t="e">
        <f t="shared" si="25"/>
        <v>#DIV/0!</v>
      </c>
      <c r="BR35" s="140">
        <f t="shared" si="26"/>
        <v>30</v>
      </c>
      <c r="BS35" s="141" t="e">
        <f t="shared" si="27"/>
        <v>#DIV/0!</v>
      </c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>
        <f t="shared" si="1"/>
        <v>0</v>
      </c>
      <c r="AO36" s="127">
        <f t="shared" si="1"/>
        <v>0</v>
      </c>
      <c r="AP36" s="128">
        <f t="shared" si="1"/>
        <v>0</v>
      </c>
      <c r="AQ36" s="127">
        <f t="shared" si="1"/>
        <v>0</v>
      </c>
      <c r="AR36" s="128">
        <f t="shared" si="1"/>
        <v>0</v>
      </c>
      <c r="AS36" s="160" t="e">
        <f t="shared" si="28"/>
        <v>#DIV/0!</v>
      </c>
      <c r="AT36" s="122" t="e">
        <f t="shared" si="29"/>
        <v>#DIV/0!</v>
      </c>
      <c r="AU36" s="122" t="e">
        <f t="shared" si="39"/>
        <v>#DIV/0!</v>
      </c>
      <c r="AV36" s="122" t="e">
        <f t="shared" si="30"/>
        <v>#DIV/0!</v>
      </c>
      <c r="AW36" s="122" t="e">
        <f t="shared" si="48"/>
        <v>#DIV/0!</v>
      </c>
      <c r="AX36" s="122" t="e">
        <f t="shared" si="49"/>
        <v>#DIV/0!</v>
      </c>
      <c r="AY36" s="122" t="e">
        <f t="shared" si="50"/>
        <v>#DIV/0!</v>
      </c>
      <c r="AZ36" s="161" t="e">
        <f t="shared" si="51"/>
        <v>#DIV/0!</v>
      </c>
      <c r="BA36" s="161" t="e">
        <f t="shared" si="52"/>
        <v>#DIV/0!</v>
      </c>
      <c r="BB36" s="161" t="e">
        <f t="shared" si="53"/>
        <v>#DIV/0!</v>
      </c>
      <c r="BC36" s="161" t="e">
        <f t="shared" si="54"/>
        <v>#DIV/0!</v>
      </c>
      <c r="BD36" s="162" t="e">
        <f t="shared" si="55"/>
        <v>#DIV/0!</v>
      </c>
      <c r="BE36" s="179"/>
      <c r="BF36" s="139">
        <f t="shared" si="14"/>
        <v>0</v>
      </c>
      <c r="BG36" s="140">
        <f t="shared" si="15"/>
        <v>0</v>
      </c>
      <c r="BH36" s="140">
        <f t="shared" si="16"/>
        <v>0</v>
      </c>
      <c r="BI36" s="140">
        <f t="shared" si="17"/>
        <v>0</v>
      </c>
      <c r="BJ36" s="140">
        <f t="shared" si="18"/>
        <v>0</v>
      </c>
      <c r="BK36" s="140">
        <f t="shared" si="19"/>
        <v>0</v>
      </c>
      <c r="BL36" s="140">
        <f t="shared" si="20"/>
        <v>0</v>
      </c>
      <c r="BM36" s="140">
        <f t="shared" si="21"/>
        <v>0</v>
      </c>
      <c r="BN36" s="140">
        <f t="shared" si="22"/>
        <v>0</v>
      </c>
      <c r="BO36" s="140">
        <f t="shared" si="23"/>
        <v>0</v>
      </c>
      <c r="BP36" s="140">
        <f t="shared" si="24"/>
        <v>0</v>
      </c>
      <c r="BQ36" s="140" t="e">
        <f t="shared" si="25"/>
        <v>#DIV/0!</v>
      </c>
      <c r="BR36" s="140">
        <f t="shared" si="26"/>
        <v>30</v>
      </c>
      <c r="BS36" s="141" t="e">
        <f t="shared" si="27"/>
        <v>#DIV/0!</v>
      </c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>
        <f t="shared" si="1"/>
        <v>0</v>
      </c>
      <c r="AO37" s="127">
        <f t="shared" si="1"/>
        <v>0</v>
      </c>
      <c r="AP37" s="128">
        <f t="shared" si="1"/>
        <v>0</v>
      </c>
      <c r="AQ37" s="127">
        <f t="shared" si="1"/>
        <v>0</v>
      </c>
      <c r="AR37" s="128">
        <f t="shared" si="1"/>
        <v>0</v>
      </c>
      <c r="AS37" s="160" t="e">
        <f t="shared" si="28"/>
        <v>#DIV/0!</v>
      </c>
      <c r="AT37" s="122" t="e">
        <f t="shared" si="29"/>
        <v>#DIV/0!</v>
      </c>
      <c r="AU37" s="122" t="e">
        <f t="shared" si="39"/>
        <v>#DIV/0!</v>
      </c>
      <c r="AV37" s="122" t="e">
        <f t="shared" si="30"/>
        <v>#DIV/0!</v>
      </c>
      <c r="AW37" s="122" t="e">
        <f t="shared" si="48"/>
        <v>#DIV/0!</v>
      </c>
      <c r="AX37" s="122" t="e">
        <f t="shared" si="49"/>
        <v>#DIV/0!</v>
      </c>
      <c r="AY37" s="122" t="e">
        <f t="shared" si="50"/>
        <v>#DIV/0!</v>
      </c>
      <c r="AZ37" s="161" t="e">
        <f t="shared" si="51"/>
        <v>#DIV/0!</v>
      </c>
      <c r="BA37" s="161" t="e">
        <f t="shared" si="52"/>
        <v>#DIV/0!</v>
      </c>
      <c r="BB37" s="161" t="e">
        <f t="shared" si="53"/>
        <v>#DIV/0!</v>
      </c>
      <c r="BC37" s="161" t="e">
        <f t="shared" si="54"/>
        <v>#DIV/0!</v>
      </c>
      <c r="BD37" s="162" t="e">
        <f t="shared" si="55"/>
        <v>#DIV/0!</v>
      </c>
      <c r="BE37" s="179"/>
      <c r="BF37" s="139">
        <f t="shared" si="14"/>
        <v>0</v>
      </c>
      <c r="BG37" s="140">
        <f t="shared" si="15"/>
        <v>0</v>
      </c>
      <c r="BH37" s="140">
        <f t="shared" si="16"/>
        <v>0</v>
      </c>
      <c r="BI37" s="140">
        <f t="shared" si="17"/>
        <v>0</v>
      </c>
      <c r="BJ37" s="140">
        <f t="shared" si="18"/>
        <v>0</v>
      </c>
      <c r="BK37" s="140">
        <f t="shared" si="19"/>
        <v>0</v>
      </c>
      <c r="BL37" s="140">
        <f t="shared" si="20"/>
        <v>0</v>
      </c>
      <c r="BM37" s="140">
        <f t="shared" si="21"/>
        <v>0</v>
      </c>
      <c r="BN37" s="140">
        <f t="shared" si="22"/>
        <v>0</v>
      </c>
      <c r="BO37" s="140">
        <f t="shared" si="23"/>
        <v>0</v>
      </c>
      <c r="BP37" s="140">
        <f t="shared" si="24"/>
        <v>0</v>
      </c>
      <c r="BQ37" s="140" t="e">
        <f t="shared" si="25"/>
        <v>#DIV/0!</v>
      </c>
      <c r="BR37" s="140">
        <f t="shared" si="26"/>
        <v>30</v>
      </c>
      <c r="BS37" s="141" t="e">
        <f t="shared" si="27"/>
        <v>#DIV/0!</v>
      </c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90"/>
      <c r="G38" s="191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96">
        <f t="shared" si="1"/>
        <v>0</v>
      </c>
      <c r="AO38" s="197">
        <f t="shared" si="1"/>
        <v>0</v>
      </c>
      <c r="AP38" s="198">
        <f t="shared" si="1"/>
        <v>0</v>
      </c>
      <c r="AQ38" s="197">
        <f t="shared" si="1"/>
        <v>0</v>
      </c>
      <c r="AR38" s="198">
        <f t="shared" si="1"/>
        <v>0</v>
      </c>
      <c r="AS38" s="167" t="e">
        <f t="shared" si="28"/>
        <v>#DIV/0!</v>
      </c>
      <c r="AT38" s="168" t="e">
        <f t="shared" si="29"/>
        <v>#DIV/0!</v>
      </c>
      <c r="AU38" s="168" t="e">
        <f t="shared" si="39"/>
        <v>#DIV/0!</v>
      </c>
      <c r="AV38" s="168" t="e">
        <f t="shared" si="30"/>
        <v>#DIV/0!</v>
      </c>
      <c r="AW38" s="168" t="e">
        <f t="shared" si="48"/>
        <v>#DIV/0!</v>
      </c>
      <c r="AX38" s="168" t="e">
        <f t="shared" si="49"/>
        <v>#DIV/0!</v>
      </c>
      <c r="AY38" s="168" t="e">
        <f t="shared" si="50"/>
        <v>#DIV/0!</v>
      </c>
      <c r="AZ38" s="169" t="e">
        <f t="shared" si="51"/>
        <v>#DIV/0!</v>
      </c>
      <c r="BA38" s="169" t="e">
        <f t="shared" si="52"/>
        <v>#DIV/0!</v>
      </c>
      <c r="BB38" s="169" t="e">
        <f t="shared" si="53"/>
        <v>#DIV/0!</v>
      </c>
      <c r="BC38" s="169" t="e">
        <f t="shared" si="54"/>
        <v>#DIV/0!</v>
      </c>
      <c r="BD38" s="170" t="e">
        <f t="shared" si="55"/>
        <v>#DIV/0!</v>
      </c>
      <c r="BE38" s="179"/>
      <c r="BF38" s="172">
        <f t="shared" si="14"/>
        <v>0</v>
      </c>
      <c r="BG38" s="173">
        <f t="shared" si="15"/>
        <v>0</v>
      </c>
      <c r="BH38" s="173">
        <f t="shared" si="16"/>
        <v>0</v>
      </c>
      <c r="BI38" s="173">
        <f t="shared" si="17"/>
        <v>0</v>
      </c>
      <c r="BJ38" s="173">
        <f t="shared" si="18"/>
        <v>0</v>
      </c>
      <c r="BK38" s="173">
        <f t="shared" si="19"/>
        <v>0</v>
      </c>
      <c r="BL38" s="173">
        <f t="shared" si="20"/>
        <v>0</v>
      </c>
      <c r="BM38" s="173">
        <f t="shared" si="21"/>
        <v>0</v>
      </c>
      <c r="BN38" s="173">
        <f t="shared" si="22"/>
        <v>0</v>
      </c>
      <c r="BO38" s="173">
        <f t="shared" si="23"/>
        <v>0</v>
      </c>
      <c r="BP38" s="173">
        <f t="shared" si="24"/>
        <v>0</v>
      </c>
      <c r="BQ38" s="173" t="e">
        <f t="shared" si="25"/>
        <v>#DIV/0!</v>
      </c>
      <c r="BR38" s="173">
        <f t="shared" si="26"/>
        <v>30</v>
      </c>
      <c r="BS38" s="174" t="e">
        <f t="shared" si="27"/>
        <v>#DIV/0!</v>
      </c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  <colBreaks count="2" manualBreakCount="2">
    <brk id="39" max="39" man="1"/>
    <brk id="57" max="39" man="1"/>
  </col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zoomScaleNormal="100" zoomScaleSheetLayoutView="90" workbookViewId="0">
      <selection activeCell="A2" sqref="A2"/>
    </sheetView>
  </sheetViews>
  <sheetFormatPr defaultColWidth="9" defaultRowHeight="14" x14ac:dyDescent="0.3"/>
  <cols>
    <col min="1" max="1" width="7.6328125" style="65" customWidth="1"/>
    <col min="2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102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261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足立区綾瀬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262</v>
      </c>
      <c r="C4" s="85"/>
      <c r="D4" s="75"/>
      <c r="E4" s="75" t="s">
        <v>107</v>
      </c>
      <c r="F4" s="86" t="s">
        <v>263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東京都環境科学研究所</v>
      </c>
      <c r="AP4" s="81"/>
      <c r="AQ4" s="75"/>
      <c r="AR4" s="75" t="str">
        <f>E4</f>
        <v>担当者：</v>
      </c>
      <c r="AS4" s="75" t="str">
        <f>F4</f>
        <v>秋山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S6" s="89" t="s">
        <v>112</v>
      </c>
      <c r="AW6" s="71"/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43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142</v>
      </c>
      <c r="J9" s="733"/>
      <c r="K9" s="732" t="s">
        <v>143</v>
      </c>
      <c r="L9" s="733"/>
      <c r="M9" s="732" t="s">
        <v>144</v>
      </c>
      <c r="N9" s="733"/>
      <c r="O9" s="732" t="s">
        <v>145</v>
      </c>
      <c r="P9" s="733"/>
      <c r="Q9" s="732" t="s">
        <v>146</v>
      </c>
      <c r="R9" s="733"/>
      <c r="S9" s="732" t="s">
        <v>147</v>
      </c>
      <c r="T9" s="733"/>
      <c r="U9" s="732" t="s">
        <v>264</v>
      </c>
      <c r="V9" s="733"/>
      <c r="W9" s="732" t="s">
        <v>265</v>
      </c>
      <c r="X9" s="733"/>
      <c r="Y9" s="732" t="s">
        <v>142</v>
      </c>
      <c r="Z9" s="733"/>
      <c r="AA9" s="732" t="s">
        <v>143</v>
      </c>
      <c r="AB9" s="733"/>
      <c r="AC9" s="732" t="s">
        <v>144</v>
      </c>
      <c r="AD9" s="733"/>
      <c r="AE9" s="732" t="s">
        <v>145</v>
      </c>
      <c r="AF9" s="733"/>
      <c r="AG9" s="732" t="s">
        <v>142</v>
      </c>
      <c r="AH9" s="733"/>
      <c r="AI9" s="732" t="s">
        <v>144</v>
      </c>
      <c r="AJ9" s="733"/>
      <c r="AK9" s="732" t="s">
        <v>145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266</v>
      </c>
      <c r="BF9" s="724" t="s">
        <v>142</v>
      </c>
      <c r="BG9" s="718" t="s">
        <v>143</v>
      </c>
      <c r="BH9" s="718" t="s">
        <v>144</v>
      </c>
      <c r="BI9" s="718" t="s">
        <v>145</v>
      </c>
      <c r="BJ9" s="718" t="s">
        <v>146</v>
      </c>
      <c r="BK9" s="718" t="s">
        <v>147</v>
      </c>
      <c r="BL9" s="718" t="s">
        <v>148</v>
      </c>
      <c r="BM9" s="720" t="s">
        <v>266</v>
      </c>
      <c r="BN9" s="103" t="s">
        <v>267</v>
      </c>
      <c r="BO9" s="103" t="s">
        <v>268</v>
      </c>
      <c r="BP9" s="103" t="s">
        <v>269</v>
      </c>
      <c r="BQ9" s="103" t="s">
        <v>270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271</v>
      </c>
      <c r="G10" s="108" t="s">
        <v>272</v>
      </c>
      <c r="H10" s="108" t="s">
        <v>272</v>
      </c>
      <c r="I10" s="109" t="s">
        <v>273</v>
      </c>
      <c r="J10" s="109" t="s">
        <v>274</v>
      </c>
      <c r="K10" s="109" t="s">
        <v>273</v>
      </c>
      <c r="L10" s="109" t="s">
        <v>274</v>
      </c>
      <c r="M10" s="109" t="s">
        <v>273</v>
      </c>
      <c r="N10" s="109" t="s">
        <v>274</v>
      </c>
      <c r="O10" s="109" t="s">
        <v>273</v>
      </c>
      <c r="P10" s="109" t="s">
        <v>274</v>
      </c>
      <c r="Q10" s="109" t="s">
        <v>273</v>
      </c>
      <c r="R10" s="109" t="s">
        <v>274</v>
      </c>
      <c r="S10" s="109" t="s">
        <v>273</v>
      </c>
      <c r="T10" s="109" t="s">
        <v>274</v>
      </c>
      <c r="U10" s="109" t="s">
        <v>273</v>
      </c>
      <c r="V10" s="109" t="s">
        <v>274</v>
      </c>
      <c r="W10" s="109" t="s">
        <v>273</v>
      </c>
      <c r="X10" s="109" t="s">
        <v>274</v>
      </c>
      <c r="Y10" s="109" t="s">
        <v>273</v>
      </c>
      <c r="Z10" s="109" t="s">
        <v>274</v>
      </c>
      <c r="AA10" s="109" t="s">
        <v>273</v>
      </c>
      <c r="AB10" s="109" t="s">
        <v>274</v>
      </c>
      <c r="AC10" s="109" t="s">
        <v>273</v>
      </c>
      <c r="AD10" s="109" t="s">
        <v>274</v>
      </c>
      <c r="AE10" s="109" t="s">
        <v>273</v>
      </c>
      <c r="AF10" s="109" t="s">
        <v>274</v>
      </c>
      <c r="AG10" s="109" t="s">
        <v>273</v>
      </c>
      <c r="AH10" s="109" t="s">
        <v>274</v>
      </c>
      <c r="AI10" s="109" t="s">
        <v>273</v>
      </c>
      <c r="AJ10" s="109" t="s">
        <v>274</v>
      </c>
      <c r="AK10" s="109" t="s">
        <v>273</v>
      </c>
      <c r="AL10" s="110" t="s">
        <v>274</v>
      </c>
      <c r="AM10" s="111"/>
      <c r="AN10" s="105"/>
      <c r="AO10" s="112" t="s">
        <v>275</v>
      </c>
      <c r="AP10" s="113" t="s">
        <v>276</v>
      </c>
      <c r="AQ10" s="112" t="s">
        <v>275</v>
      </c>
      <c r="AR10" s="113" t="s">
        <v>276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25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>
        <v>5</v>
      </c>
      <c r="B11" s="118">
        <v>42212</v>
      </c>
      <c r="C11" s="119">
        <v>0.41666666666666669</v>
      </c>
      <c r="D11" s="118">
        <v>42213</v>
      </c>
      <c r="E11" s="119">
        <v>0.39583333333333331</v>
      </c>
      <c r="F11" s="310">
        <v>30.141666666666669</v>
      </c>
      <c r="G11" s="121">
        <v>2.0619999999999998</v>
      </c>
      <c r="H11" s="122">
        <f t="shared" ref="H11:H17" si="0">G11*(20+273)/(F11+273)</f>
        <v>1.9930153668526815</v>
      </c>
      <c r="I11" s="311">
        <v>5.7200000000000001E-2</v>
      </c>
      <c r="J11" s="312">
        <v>4.5799999999999999E-3</v>
      </c>
      <c r="K11" s="313">
        <v>0.10340000000000001</v>
      </c>
      <c r="L11" s="312">
        <v>5.5000000000000005E-3</v>
      </c>
      <c r="M11" s="312">
        <v>3.27E-2</v>
      </c>
      <c r="N11" s="312">
        <v>1.89E-2</v>
      </c>
      <c r="O11" s="312">
        <v>5.6800000000000003E-2</v>
      </c>
      <c r="P11" s="312">
        <v>1.308E-2</v>
      </c>
      <c r="Q11" s="312">
        <v>4.5100000000000001E-2</v>
      </c>
      <c r="R11" s="312">
        <v>2.7239999999999997E-2</v>
      </c>
      <c r="S11" s="312">
        <v>6.3500000000000001E-2</v>
      </c>
      <c r="T11" s="312">
        <v>6.5640000000000004E-2</v>
      </c>
      <c r="U11" s="314">
        <v>2.7400000000000001E-2</v>
      </c>
      <c r="V11" s="314">
        <v>2.6579999999999999E-2</v>
      </c>
      <c r="W11" s="312">
        <v>0.112</v>
      </c>
      <c r="X11" s="312">
        <v>0.10540000000000001</v>
      </c>
      <c r="Y11" s="313">
        <v>0.63490000000000002</v>
      </c>
      <c r="Z11" s="313">
        <v>1.0799999999999998E-3</v>
      </c>
      <c r="AA11" s="313">
        <v>0.68869999999999998</v>
      </c>
      <c r="AB11" s="313">
        <v>0.42729999999999996</v>
      </c>
      <c r="AC11" s="312">
        <v>0.98580000000000001</v>
      </c>
      <c r="AD11" s="312">
        <v>1.0122199999999999</v>
      </c>
      <c r="AE11" s="312">
        <v>0.1895</v>
      </c>
      <c r="AF11" s="312">
        <v>9.1599999999999997E-3</v>
      </c>
      <c r="AG11" s="312">
        <v>3.4335</v>
      </c>
      <c r="AH11" s="312">
        <v>0</v>
      </c>
      <c r="AI11" s="312">
        <v>0.1678</v>
      </c>
      <c r="AJ11" s="312">
        <v>7.2480000000000003E-2</v>
      </c>
      <c r="AK11" s="313">
        <v>2.0444</v>
      </c>
      <c r="AL11" s="315">
        <v>1.6279999999999999E-2</v>
      </c>
      <c r="AM11" s="125"/>
      <c r="AN11" s="126">
        <f t="shared" ref="AN11:AR17" si="1">A11</f>
        <v>5</v>
      </c>
      <c r="AO11" s="127">
        <f>B11</f>
        <v>42212</v>
      </c>
      <c r="AP11" s="128">
        <f>C11</f>
        <v>0.41666666666666669</v>
      </c>
      <c r="AQ11" s="127">
        <f>D11</f>
        <v>42213</v>
      </c>
      <c r="AR11" s="128">
        <f>E11</f>
        <v>0.39583333333333331</v>
      </c>
      <c r="AS11" s="129">
        <f t="shared" ref="AS11:AS17" si="2">1000/96.06*(Y11-Z11+AG11-AH11)*10/H11</f>
        <v>212.449206175689</v>
      </c>
      <c r="AT11" s="132">
        <f t="shared" ref="AT11:AT17" si="3">1000/62.01*(AA11-AB11)*10/H11</f>
        <v>21.151111984482224</v>
      </c>
      <c r="AU11" s="131">
        <f t="shared" ref="AU11:AU16" si="4">1000/18.04*(AI11-AJ11)*10/G11</f>
        <v>25.624702944851514</v>
      </c>
      <c r="AV11" s="131">
        <f t="shared" ref="AV11:AV17" si="5">1000/18.04*(AE11-AF11+AK11-AL11)*10/H11</f>
        <v>614.2460285036077</v>
      </c>
      <c r="AW11" s="132">
        <f t="shared" ref="AW11:AW17" si="6">1000/96.06*(I11-J11)*10/H11</f>
        <v>2.7485118527592505</v>
      </c>
      <c r="AX11" s="132">
        <f t="shared" ref="AX11:AX17" si="7">1000/62.01*(K11-L11)*10/H11</f>
        <v>7.9215526521836637</v>
      </c>
      <c r="AY11" s="316" t="s">
        <v>277</v>
      </c>
      <c r="AZ11" s="133">
        <f t="shared" ref="AZ11:AZ17" si="8">1000/18.04*(O11-P11)*10/H11</f>
        <v>12.159983140368277</v>
      </c>
      <c r="BA11" s="133">
        <f t="shared" ref="BA11:BA17" si="9">1000/22.99*(Q11-R11)*10/H11</f>
        <v>3.8979102572552073</v>
      </c>
      <c r="BB11" s="317" t="s">
        <v>278</v>
      </c>
      <c r="BC11" s="133">
        <f t="shared" ref="BC11:BC17" si="10">1000/24.31*(U11-V11)*10/H11</f>
        <v>0.16924593492077605</v>
      </c>
      <c r="BD11" s="134">
        <f t="shared" ref="BD11:BD17" si="11">1000/40*(W11-X11)*10/H11</f>
        <v>0.82789125836276722</v>
      </c>
      <c r="BF11" s="318">
        <f t="shared" ref="BF11:BF17" si="12">(I11-J11)/48.03*1000</f>
        <v>1.0955652717051843</v>
      </c>
      <c r="BG11" s="140">
        <f t="shared" ref="BG11:BG17" si="13">(K11-L11)/62.01*1000</f>
        <v>1.5787776165134657</v>
      </c>
      <c r="BH11" s="140">
        <f t="shared" ref="BH11:BH17" si="14">(M11-N11)/35.45*1000</f>
        <v>0.38928067700987301</v>
      </c>
      <c r="BI11" s="140">
        <f t="shared" ref="BI11:BI17" si="15">(O11-P11)/18.04*1000</f>
        <v>2.4235033259423502</v>
      </c>
      <c r="BJ11" s="140">
        <f t="shared" ref="BJ11:BJ17" si="16">(Q11-R11)/22.99*1000</f>
        <v>0.7768595041322317</v>
      </c>
      <c r="BK11" s="140">
        <f t="shared" ref="BK11:BK17" si="17">(S11-T11)/39.1*1000</f>
        <v>-5.4731457800511585E-2</v>
      </c>
      <c r="BL11" s="140">
        <f t="shared" ref="BL11:BL17" si="18">(U11-V11)/12.16*1000</f>
        <v>6.7434210526315902E-2</v>
      </c>
      <c r="BM11" s="140">
        <f t="shared" ref="BM11:BM17" si="19">(W11-X11)/20.04*1000</f>
        <v>0.32934131736526923</v>
      </c>
      <c r="BN11" s="140">
        <f t="shared" ref="BN11:BN17" si="20">SUM(BF11:BH11)</f>
        <v>3.0636235652285229</v>
      </c>
      <c r="BO11" s="140">
        <f t="shared" ref="BO11:BO17" si="21">SUM(BI11:BM11)</f>
        <v>3.5424069001656551</v>
      </c>
      <c r="BP11" s="140">
        <f t="shared" ref="BP11:BP17" si="22">BN11+BO11</f>
        <v>6.6060304653941779</v>
      </c>
      <c r="BQ11" s="140">
        <f t="shared" ref="BQ11:BQ17" si="23">(BO11-BN11)/BP11*100</f>
        <v>7.2476707070191129</v>
      </c>
      <c r="BR11" s="140">
        <f t="shared" ref="BR11:BR17" si="24">IF(BP11&lt;50,30,IF(BP11&lt;=100,15,8))</f>
        <v>30</v>
      </c>
      <c r="BS11" s="141" t="str">
        <f t="shared" ref="BS11:BS17" si="25">IF(ABS(BQ11)&lt;BR11,"○","×")</f>
        <v>○</v>
      </c>
    </row>
    <row r="12" spans="1:71" s="72" customFormat="1" ht="15" customHeight="1" x14ac:dyDescent="0.3">
      <c r="A12" s="117">
        <v>6</v>
      </c>
      <c r="B12" s="118">
        <v>42213</v>
      </c>
      <c r="C12" s="119">
        <v>0.41666666666666669</v>
      </c>
      <c r="D12" s="118">
        <v>42214</v>
      </c>
      <c r="E12" s="119">
        <v>0.39583333333333331</v>
      </c>
      <c r="F12" s="310">
        <v>29.93333333333333</v>
      </c>
      <c r="G12" s="121">
        <v>2.0859999999999999</v>
      </c>
      <c r="H12" s="122">
        <f t="shared" si="0"/>
        <v>2.0175990316901409</v>
      </c>
      <c r="I12" s="311">
        <v>2.4453</v>
      </c>
      <c r="J12" s="312">
        <v>4.5799999999999999E-3</v>
      </c>
      <c r="K12" s="313">
        <v>0.79349999999999998</v>
      </c>
      <c r="L12" s="312">
        <v>5.5000000000000005E-3</v>
      </c>
      <c r="M12" s="312">
        <v>3.8199999999999998E-2</v>
      </c>
      <c r="N12" s="312">
        <v>1.89E-2</v>
      </c>
      <c r="O12" s="312">
        <v>0.96150000000000002</v>
      </c>
      <c r="P12" s="312">
        <v>1.308E-2</v>
      </c>
      <c r="Q12" s="312">
        <v>0.21959999999999999</v>
      </c>
      <c r="R12" s="312">
        <v>2.7239999999999997E-2</v>
      </c>
      <c r="S12" s="312">
        <v>8.5199999999999998E-2</v>
      </c>
      <c r="T12" s="312">
        <v>6.5640000000000004E-2</v>
      </c>
      <c r="U12" s="314">
        <v>3.61E-2</v>
      </c>
      <c r="V12" s="314">
        <v>2.6579999999999999E-2</v>
      </c>
      <c r="W12" s="312">
        <v>0.20349999999999999</v>
      </c>
      <c r="X12" s="312">
        <v>0.10540000000000001</v>
      </c>
      <c r="Y12" s="313">
        <v>0.13800000000000001</v>
      </c>
      <c r="Z12" s="313">
        <v>1.0799999999999998E-3</v>
      </c>
      <c r="AA12" s="313">
        <v>0.64810000000000001</v>
      </c>
      <c r="AB12" s="313">
        <v>0.42729999999999996</v>
      </c>
      <c r="AC12" s="312">
        <v>0.91579999999999995</v>
      </c>
      <c r="AD12" s="312">
        <v>1.0122199999999999</v>
      </c>
      <c r="AE12" s="312">
        <v>8.3599999999999994E-2</v>
      </c>
      <c r="AF12" s="312">
        <v>9.1599999999999997E-3</v>
      </c>
      <c r="AG12" s="312">
        <v>1.0854999999999999</v>
      </c>
      <c r="AH12" s="312">
        <v>0</v>
      </c>
      <c r="AI12" s="312">
        <v>0.21099999999999999</v>
      </c>
      <c r="AJ12" s="312">
        <v>7.2480000000000003E-2</v>
      </c>
      <c r="AK12" s="313">
        <v>1.0416000000000001</v>
      </c>
      <c r="AL12" s="315">
        <v>1.6279999999999999E-2</v>
      </c>
      <c r="AM12" s="138"/>
      <c r="AN12" s="126">
        <f t="shared" si="1"/>
        <v>6</v>
      </c>
      <c r="AO12" s="127">
        <f t="shared" si="1"/>
        <v>42213</v>
      </c>
      <c r="AP12" s="128">
        <f t="shared" si="1"/>
        <v>0.41666666666666669</v>
      </c>
      <c r="AQ12" s="127">
        <f t="shared" si="1"/>
        <v>42214</v>
      </c>
      <c r="AR12" s="128">
        <f t="shared" si="1"/>
        <v>0.39583333333333331</v>
      </c>
      <c r="AS12" s="129">
        <f t="shared" si="2"/>
        <v>63.072929626644722</v>
      </c>
      <c r="AT12" s="132">
        <f t="shared" si="3"/>
        <v>17.648283715537843</v>
      </c>
      <c r="AU12" s="131">
        <f t="shared" si="4"/>
        <v>36.809646402051051</v>
      </c>
      <c r="AV12" s="131">
        <f t="shared" si="5"/>
        <v>302.15273217904041</v>
      </c>
      <c r="AW12" s="132">
        <f t="shared" si="6"/>
        <v>125.93328054052154</v>
      </c>
      <c r="AX12" s="132">
        <f t="shared" si="7"/>
        <v>62.983911086249165</v>
      </c>
      <c r="AY12" s="316" t="s">
        <v>277</v>
      </c>
      <c r="AZ12" s="133">
        <f t="shared" si="8"/>
        <v>260.57293796214219</v>
      </c>
      <c r="BA12" s="133">
        <f t="shared" si="9"/>
        <v>41.470658966573453</v>
      </c>
      <c r="BB12" s="133">
        <f t="shared" ref="BB12:BB17" si="26">1000/39.1*(S12-T12)*10/H12</f>
        <v>2.4794607184988555</v>
      </c>
      <c r="BC12" s="133">
        <f t="shared" si="10"/>
        <v>1.9409624283985787</v>
      </c>
      <c r="BD12" s="134">
        <f t="shared" si="11"/>
        <v>12.155537158171327</v>
      </c>
      <c r="BF12" s="139">
        <f t="shared" si="12"/>
        <v>50.816572975223821</v>
      </c>
      <c r="BG12" s="140">
        <f t="shared" si="13"/>
        <v>12.707627801967426</v>
      </c>
      <c r="BH12" s="140">
        <f t="shared" si="14"/>
        <v>0.54442877291960501</v>
      </c>
      <c r="BI12" s="140">
        <f t="shared" si="15"/>
        <v>52.573170731707322</v>
      </c>
      <c r="BJ12" s="140">
        <f t="shared" si="16"/>
        <v>8.3671161374510667</v>
      </c>
      <c r="BK12" s="140">
        <f t="shared" si="17"/>
        <v>0.50025575447570314</v>
      </c>
      <c r="BL12" s="140">
        <f t="shared" si="18"/>
        <v>0.78289473684210531</v>
      </c>
      <c r="BM12" s="140">
        <f t="shared" si="19"/>
        <v>4.8952095808383218</v>
      </c>
      <c r="BN12" s="140">
        <f t="shared" si="20"/>
        <v>64.068629550110856</v>
      </c>
      <c r="BO12" s="140">
        <f t="shared" si="21"/>
        <v>67.118646941314509</v>
      </c>
      <c r="BP12" s="140">
        <f t="shared" si="22"/>
        <v>131.18727649142537</v>
      </c>
      <c r="BQ12" s="140">
        <f t="shared" si="23"/>
        <v>2.3249338447871564</v>
      </c>
      <c r="BR12" s="140">
        <f t="shared" si="24"/>
        <v>8</v>
      </c>
      <c r="BS12" s="141" t="str">
        <f t="shared" si="25"/>
        <v>○</v>
      </c>
    </row>
    <row r="13" spans="1:71" s="72" customFormat="1" ht="15" customHeight="1" x14ac:dyDescent="0.3">
      <c r="A13" s="142">
        <v>7</v>
      </c>
      <c r="B13" s="143">
        <v>42214</v>
      </c>
      <c r="C13" s="119">
        <v>0.6333333333333333</v>
      </c>
      <c r="D13" s="143">
        <v>42215</v>
      </c>
      <c r="E13" s="144">
        <v>0.3979166666666667</v>
      </c>
      <c r="F13" s="319">
        <v>29.74583333333333</v>
      </c>
      <c r="G13" s="147">
        <v>1.526</v>
      </c>
      <c r="H13" s="148">
        <f t="shared" si="0"/>
        <v>1.4768758171733716</v>
      </c>
      <c r="I13" s="320">
        <v>0.8377</v>
      </c>
      <c r="J13" s="321">
        <v>4.5799999999999999E-3</v>
      </c>
      <c r="K13" s="322">
        <v>0.36620000000000003</v>
      </c>
      <c r="L13" s="321">
        <v>5.5000000000000005E-3</v>
      </c>
      <c r="M13" s="321">
        <v>3.7499999999999999E-2</v>
      </c>
      <c r="N13" s="321">
        <v>1.89E-2</v>
      </c>
      <c r="O13" s="321">
        <v>0.46989999999999998</v>
      </c>
      <c r="P13" s="321">
        <v>1.308E-2</v>
      </c>
      <c r="Q13" s="321">
        <v>9.8500000000000004E-2</v>
      </c>
      <c r="R13" s="321">
        <v>2.7239999999999997E-2</v>
      </c>
      <c r="S13" s="321">
        <v>8.4900000000000003E-2</v>
      </c>
      <c r="T13" s="321">
        <v>6.5640000000000004E-2</v>
      </c>
      <c r="U13" s="323">
        <v>2.9899999999999999E-2</v>
      </c>
      <c r="V13" s="323">
        <v>2.6579999999999999E-2</v>
      </c>
      <c r="W13" s="321">
        <v>0.15240000000000001</v>
      </c>
      <c r="X13" s="321">
        <v>0.10540000000000001</v>
      </c>
      <c r="Y13" s="322">
        <v>0.1258</v>
      </c>
      <c r="Z13" s="322">
        <v>1.0799999999999998E-3</v>
      </c>
      <c r="AA13" s="322">
        <v>0.6613</v>
      </c>
      <c r="AB13" s="322">
        <v>0.42729999999999996</v>
      </c>
      <c r="AC13" s="321">
        <v>0.93569999999999998</v>
      </c>
      <c r="AD13" s="321">
        <v>1.0122199999999999</v>
      </c>
      <c r="AE13" s="321">
        <v>0.15140000000000001</v>
      </c>
      <c r="AF13" s="321">
        <v>9.1599999999999997E-3</v>
      </c>
      <c r="AG13" s="321">
        <v>1.2131000000000001</v>
      </c>
      <c r="AH13" s="321">
        <v>0</v>
      </c>
      <c r="AI13" s="321">
        <v>0.1502</v>
      </c>
      <c r="AJ13" s="321">
        <v>7.2480000000000003E-2</v>
      </c>
      <c r="AK13" s="322">
        <v>0.90710000000000002</v>
      </c>
      <c r="AL13" s="324">
        <v>1.6279999999999999E-2</v>
      </c>
      <c r="AM13" s="78"/>
      <c r="AN13" s="151">
        <f t="shared" si="1"/>
        <v>7</v>
      </c>
      <c r="AO13" s="152">
        <f t="shared" si="1"/>
        <v>42214</v>
      </c>
      <c r="AP13" s="153">
        <f t="shared" si="1"/>
        <v>0.6333333333333333</v>
      </c>
      <c r="AQ13" s="152">
        <f t="shared" si="1"/>
        <v>42215</v>
      </c>
      <c r="AR13" s="153">
        <f t="shared" si="1"/>
        <v>0.3979166666666667</v>
      </c>
      <c r="AS13" s="154">
        <f t="shared" si="2"/>
        <v>94.299876215953347</v>
      </c>
      <c r="AT13" s="157">
        <f t="shared" si="3"/>
        <v>25.551132070689146</v>
      </c>
      <c r="AU13" s="157">
        <f t="shared" si="4"/>
        <v>28.232005184343517</v>
      </c>
      <c r="AV13" s="156">
        <f t="shared" si="5"/>
        <v>387.74395297620418</v>
      </c>
      <c r="AW13" s="157">
        <f t="shared" si="6"/>
        <v>58.724725951947981</v>
      </c>
      <c r="AX13" s="157">
        <f t="shared" si="7"/>
        <v>39.385868965374257</v>
      </c>
      <c r="AY13" s="157">
        <f>1000/35.45*(M13-N13)*10/H13</f>
        <v>3.5526524676001916</v>
      </c>
      <c r="AZ13" s="158">
        <f t="shared" si="8"/>
        <v>171.46070179717503</v>
      </c>
      <c r="BA13" s="158">
        <f t="shared" si="9"/>
        <v>20.987604302291729</v>
      </c>
      <c r="BB13" s="158">
        <f t="shared" si="26"/>
        <v>3.3353049354370925</v>
      </c>
      <c r="BC13" s="158">
        <f t="shared" si="10"/>
        <v>0.92471764688573899</v>
      </c>
      <c r="BD13" s="159">
        <f t="shared" si="11"/>
        <v>7.9559837485108327</v>
      </c>
      <c r="BF13" s="139">
        <f t="shared" si="12"/>
        <v>17.345825525713092</v>
      </c>
      <c r="BG13" s="140">
        <f t="shared" si="13"/>
        <v>5.8168037413320439</v>
      </c>
      <c r="BH13" s="140">
        <f t="shared" si="14"/>
        <v>0.52468265162200267</v>
      </c>
      <c r="BI13" s="140">
        <f t="shared" si="15"/>
        <v>25.322616407982263</v>
      </c>
      <c r="BJ13" s="140">
        <f t="shared" si="16"/>
        <v>3.0996085254458463</v>
      </c>
      <c r="BK13" s="140">
        <f t="shared" si="17"/>
        <v>0.49258312020460354</v>
      </c>
      <c r="BL13" s="140">
        <f t="shared" si="18"/>
        <v>0.27302631578947367</v>
      </c>
      <c r="BM13" s="140">
        <f t="shared" si="19"/>
        <v>2.345309381237525</v>
      </c>
      <c r="BN13" s="140">
        <f t="shared" si="20"/>
        <v>23.687311918667138</v>
      </c>
      <c r="BO13" s="140">
        <f t="shared" si="21"/>
        <v>31.533143750659708</v>
      </c>
      <c r="BP13" s="140">
        <f t="shared" si="22"/>
        <v>55.220455669326846</v>
      </c>
      <c r="BQ13" s="140">
        <f t="shared" si="23"/>
        <v>14.208198278868373</v>
      </c>
      <c r="BR13" s="140">
        <f t="shared" si="24"/>
        <v>15</v>
      </c>
      <c r="BS13" s="141" t="str">
        <f t="shared" si="25"/>
        <v>○</v>
      </c>
    </row>
    <row r="14" spans="1:71" s="72" customFormat="1" ht="15" customHeight="1" x14ac:dyDescent="0.3">
      <c r="A14" s="117">
        <v>8</v>
      </c>
      <c r="B14" s="118">
        <v>42215</v>
      </c>
      <c r="C14" s="119">
        <v>0.41944444444444445</v>
      </c>
      <c r="D14" s="118">
        <v>42216</v>
      </c>
      <c r="E14" s="119">
        <v>0.39930555555555558</v>
      </c>
      <c r="F14" s="310">
        <v>30.12916666666667</v>
      </c>
      <c r="G14" s="121">
        <v>2.2017000000000002</v>
      </c>
      <c r="H14" s="122">
        <f t="shared" si="0"/>
        <v>2.1281294277741889</v>
      </c>
      <c r="I14" s="311">
        <v>0.45619999999999999</v>
      </c>
      <c r="J14" s="312">
        <v>4.5799999999999999E-3</v>
      </c>
      <c r="K14" s="313">
        <v>0.1714</v>
      </c>
      <c r="L14" s="312">
        <v>5.5000000000000005E-3</v>
      </c>
      <c r="M14" s="312">
        <v>2.1999999999999999E-2</v>
      </c>
      <c r="N14" s="312">
        <v>1.89E-2</v>
      </c>
      <c r="O14" s="312">
        <v>0.25490000000000002</v>
      </c>
      <c r="P14" s="312">
        <v>1.308E-2</v>
      </c>
      <c r="Q14" s="312">
        <v>4.9399999999999999E-2</v>
      </c>
      <c r="R14" s="312">
        <v>2.7239999999999997E-2</v>
      </c>
      <c r="S14" s="312">
        <v>6.8400000000000002E-2</v>
      </c>
      <c r="T14" s="312">
        <v>6.5640000000000004E-2</v>
      </c>
      <c r="U14" s="314">
        <v>2.75E-2</v>
      </c>
      <c r="V14" s="314">
        <v>2.6579999999999999E-2</v>
      </c>
      <c r="W14" s="312">
        <v>0.11940000000000001</v>
      </c>
      <c r="X14" s="312">
        <v>0.10540000000000001</v>
      </c>
      <c r="Y14" s="313">
        <v>0.1633</v>
      </c>
      <c r="Z14" s="313">
        <v>1.0799999999999998E-3</v>
      </c>
      <c r="AA14" s="313">
        <v>0.4728</v>
      </c>
      <c r="AB14" s="313">
        <v>0.42729999999999996</v>
      </c>
      <c r="AC14" s="312">
        <v>0.86</v>
      </c>
      <c r="AD14" s="312">
        <v>1.0122199999999999</v>
      </c>
      <c r="AE14" s="312">
        <v>3.6200000000000003E-2</v>
      </c>
      <c r="AF14" s="312">
        <v>9.1599999999999997E-3</v>
      </c>
      <c r="AG14" s="312">
        <v>1.4979</v>
      </c>
      <c r="AH14" s="312">
        <v>0</v>
      </c>
      <c r="AI14" s="312">
        <v>0.12509999999999999</v>
      </c>
      <c r="AJ14" s="312">
        <v>7.2480000000000003E-2</v>
      </c>
      <c r="AK14" s="313">
        <v>1.5173000000000001</v>
      </c>
      <c r="AL14" s="315">
        <v>1.6279999999999999E-2</v>
      </c>
      <c r="AM14" s="78"/>
      <c r="AN14" s="126">
        <f t="shared" si="1"/>
        <v>8</v>
      </c>
      <c r="AO14" s="127">
        <f t="shared" si="1"/>
        <v>42215</v>
      </c>
      <c r="AP14" s="128">
        <f t="shared" si="1"/>
        <v>0.41944444444444445</v>
      </c>
      <c r="AQ14" s="127">
        <f t="shared" si="1"/>
        <v>42216</v>
      </c>
      <c r="AR14" s="128">
        <f t="shared" si="1"/>
        <v>0.39930555555555558</v>
      </c>
      <c r="AS14" s="129">
        <f t="shared" si="2"/>
        <v>81.208008869327458</v>
      </c>
      <c r="AT14" s="132">
        <f t="shared" si="3"/>
        <v>3.4478759184891592</v>
      </c>
      <c r="AU14" s="325">
        <f t="shared" si="4"/>
        <v>13.248178413233795</v>
      </c>
      <c r="AV14" s="131">
        <f t="shared" si="5"/>
        <v>398.02086294822925</v>
      </c>
      <c r="AW14" s="132">
        <f t="shared" si="6"/>
        <v>22.091873458283533</v>
      </c>
      <c r="AX14" s="132">
        <f t="shared" si="7"/>
        <v>12.571486041260462</v>
      </c>
      <c r="AY14" s="316" t="s">
        <v>277</v>
      </c>
      <c r="AZ14" s="133">
        <f t="shared" si="8"/>
        <v>62.987974999764937</v>
      </c>
      <c r="BA14" s="133">
        <f t="shared" si="9"/>
        <v>4.5293173154445165</v>
      </c>
      <c r="BB14" s="317" t="s">
        <v>278</v>
      </c>
      <c r="BC14" s="133">
        <f t="shared" si="10"/>
        <v>0.17782991926541486</v>
      </c>
      <c r="BD14" s="134">
        <f t="shared" si="11"/>
        <v>1.6446368131193274</v>
      </c>
      <c r="BF14" s="163">
        <f t="shared" si="12"/>
        <v>9.4028732042473457</v>
      </c>
      <c r="BG14" s="164">
        <f t="shared" si="13"/>
        <v>2.6753749395258826</v>
      </c>
      <c r="BH14" s="164">
        <f t="shared" si="14"/>
        <v>8.7447108603667098E-2</v>
      </c>
      <c r="BI14" s="164">
        <f t="shared" si="15"/>
        <v>13.404656319290467</v>
      </c>
      <c r="BJ14" s="164">
        <f t="shared" si="16"/>
        <v>0.96389734667246652</v>
      </c>
      <c r="BK14" s="164">
        <f t="shared" si="17"/>
        <v>7.0588235294117618E-2</v>
      </c>
      <c r="BL14" s="164">
        <f t="shared" si="18"/>
        <v>7.565789473684216E-2</v>
      </c>
      <c r="BM14" s="164">
        <f t="shared" si="19"/>
        <v>0.69860279441117756</v>
      </c>
      <c r="BN14" s="164">
        <f t="shared" si="20"/>
        <v>12.165695252376896</v>
      </c>
      <c r="BO14" s="164">
        <f t="shared" si="21"/>
        <v>15.213402590405071</v>
      </c>
      <c r="BP14" s="164">
        <f t="shared" si="22"/>
        <v>27.379097842781967</v>
      </c>
      <c r="BQ14" s="164">
        <f t="shared" si="23"/>
        <v>11.131511182468167</v>
      </c>
      <c r="BR14" s="164">
        <f t="shared" si="24"/>
        <v>30</v>
      </c>
      <c r="BS14" s="165" t="str">
        <f t="shared" si="25"/>
        <v>○</v>
      </c>
    </row>
    <row r="15" spans="1:71" s="72" customFormat="1" ht="15" customHeight="1" x14ac:dyDescent="0.3">
      <c r="A15" s="117">
        <v>9</v>
      </c>
      <c r="B15" s="118">
        <v>42216</v>
      </c>
      <c r="C15" s="119">
        <v>0.41666666666666669</v>
      </c>
      <c r="D15" s="118">
        <v>42217</v>
      </c>
      <c r="E15" s="119">
        <v>0.39583333333333331</v>
      </c>
      <c r="F15" s="310">
        <v>31.079166666666669</v>
      </c>
      <c r="G15" s="121">
        <v>2.1480000000000001</v>
      </c>
      <c r="H15" s="122">
        <f t="shared" si="0"/>
        <v>2.0697373216952824</v>
      </c>
      <c r="I15" s="311">
        <v>0.44669999999999999</v>
      </c>
      <c r="J15" s="312">
        <v>4.5799999999999999E-3</v>
      </c>
      <c r="K15" s="313">
        <v>0.1235</v>
      </c>
      <c r="L15" s="312">
        <v>5.5000000000000005E-3</v>
      </c>
      <c r="M15" s="312">
        <v>3.1699999999999999E-2</v>
      </c>
      <c r="N15" s="312">
        <v>1.89E-2</v>
      </c>
      <c r="O15" s="312">
        <v>0.24970000000000001</v>
      </c>
      <c r="P15" s="312">
        <v>1.308E-2</v>
      </c>
      <c r="Q15" s="312">
        <v>3.61E-2</v>
      </c>
      <c r="R15" s="312">
        <v>2.7239999999999997E-2</v>
      </c>
      <c r="S15" s="312">
        <v>6.4799999999999996E-2</v>
      </c>
      <c r="T15" s="312">
        <v>6.5640000000000004E-2</v>
      </c>
      <c r="U15" s="314">
        <v>2.7099999999999999E-2</v>
      </c>
      <c r="V15" s="314">
        <v>2.6579999999999999E-2</v>
      </c>
      <c r="W15" s="312">
        <v>0.1138</v>
      </c>
      <c r="X15" s="312">
        <v>0.10540000000000001</v>
      </c>
      <c r="Y15" s="313">
        <v>1.2718</v>
      </c>
      <c r="Z15" s="313">
        <v>1.0799999999999998E-3</v>
      </c>
      <c r="AA15" s="313">
        <v>0.9093</v>
      </c>
      <c r="AB15" s="313">
        <v>0.42729999999999996</v>
      </c>
      <c r="AC15" s="312">
        <v>0.9415</v>
      </c>
      <c r="AD15" s="312">
        <v>1.0122199999999999</v>
      </c>
      <c r="AE15" s="312">
        <v>0.54530000000000001</v>
      </c>
      <c r="AF15" s="312">
        <v>9.1599999999999997E-3</v>
      </c>
      <c r="AG15" s="312">
        <v>4.0362</v>
      </c>
      <c r="AH15" s="312">
        <v>0</v>
      </c>
      <c r="AI15" s="312">
        <v>0.1578</v>
      </c>
      <c r="AJ15" s="312">
        <v>7.2480000000000003E-2</v>
      </c>
      <c r="AK15" s="313">
        <v>1.8103</v>
      </c>
      <c r="AL15" s="315">
        <v>1.6279999999999999E-2</v>
      </c>
      <c r="AM15" s="78"/>
      <c r="AN15" s="126">
        <f t="shared" si="1"/>
        <v>9</v>
      </c>
      <c r="AO15" s="127">
        <f t="shared" si="1"/>
        <v>42216</v>
      </c>
      <c r="AP15" s="128">
        <f t="shared" si="1"/>
        <v>0.41666666666666669</v>
      </c>
      <c r="AQ15" s="127">
        <f t="shared" si="1"/>
        <v>42217</v>
      </c>
      <c r="AR15" s="128">
        <f t="shared" si="1"/>
        <v>0.39583333333333331</v>
      </c>
      <c r="AS15" s="129">
        <f t="shared" si="2"/>
        <v>266.92221958593348</v>
      </c>
      <c r="AT15" s="132">
        <f t="shared" si="3"/>
        <v>37.555199719957123</v>
      </c>
      <c r="AU15" s="131">
        <f t="shared" si="4"/>
        <v>22.018109972872203</v>
      </c>
      <c r="AV15" s="131">
        <f t="shared" si="5"/>
        <v>624.07096670469764</v>
      </c>
      <c r="AW15" s="132">
        <f t="shared" si="6"/>
        <v>22.237315000665717</v>
      </c>
      <c r="AX15" s="132">
        <f t="shared" si="7"/>
        <v>9.1940115496990451</v>
      </c>
      <c r="AY15" s="316" t="s">
        <v>277</v>
      </c>
      <c r="AZ15" s="133">
        <f t="shared" si="8"/>
        <v>63.37233157451228</v>
      </c>
      <c r="BA15" s="133">
        <f t="shared" si="9"/>
        <v>1.8619993268642909</v>
      </c>
      <c r="BB15" s="317" t="s">
        <v>278</v>
      </c>
      <c r="BC15" s="133">
        <f t="shared" si="10"/>
        <v>0.10334825635762486</v>
      </c>
      <c r="BD15" s="134">
        <f t="shared" si="11"/>
        <v>1.0146215067909816</v>
      </c>
      <c r="BF15" s="139">
        <f t="shared" si="12"/>
        <v>9.2050801582344377</v>
      </c>
      <c r="BG15" s="140">
        <f t="shared" si="13"/>
        <v>1.9029188840509597</v>
      </c>
      <c r="BH15" s="140">
        <f t="shared" si="14"/>
        <v>0.36107193229901263</v>
      </c>
      <c r="BI15" s="140">
        <f t="shared" si="15"/>
        <v>13.116407982261642</v>
      </c>
      <c r="BJ15" s="140">
        <f t="shared" si="16"/>
        <v>0.38538494997825157</v>
      </c>
      <c r="BK15" s="140">
        <f t="shared" si="17"/>
        <v>-2.1483375959079471E-2</v>
      </c>
      <c r="BL15" s="140">
        <f t="shared" si="18"/>
        <v>4.2763157894736815E-2</v>
      </c>
      <c r="BM15" s="140">
        <f t="shared" si="19"/>
        <v>0.41916167664670617</v>
      </c>
      <c r="BN15" s="140">
        <f t="shared" si="20"/>
        <v>11.46907097458441</v>
      </c>
      <c r="BO15" s="140">
        <f t="shared" si="21"/>
        <v>13.942234390822255</v>
      </c>
      <c r="BP15" s="140">
        <f t="shared" si="22"/>
        <v>25.411305365406665</v>
      </c>
      <c r="BQ15" s="140">
        <f t="shared" si="23"/>
        <v>9.7325319603795446</v>
      </c>
      <c r="BR15" s="140">
        <f t="shared" si="24"/>
        <v>30</v>
      </c>
      <c r="BS15" s="141" t="str">
        <f t="shared" si="25"/>
        <v>○</v>
      </c>
    </row>
    <row r="16" spans="1:71" s="72" customFormat="1" ht="15" customHeight="1" x14ac:dyDescent="0.3">
      <c r="A16" s="117">
        <v>10</v>
      </c>
      <c r="B16" s="118">
        <v>42217</v>
      </c>
      <c r="C16" s="119">
        <v>0.41666666666666669</v>
      </c>
      <c r="D16" s="118">
        <v>42218</v>
      </c>
      <c r="E16" s="119">
        <v>0.39583333333333331</v>
      </c>
      <c r="F16" s="310">
        <v>30.987500000000001</v>
      </c>
      <c r="G16" s="121">
        <v>2.1179999999999999</v>
      </c>
      <c r="H16" s="122">
        <f t="shared" si="0"/>
        <v>2.0414457831325299</v>
      </c>
      <c r="I16" s="311">
        <v>3.9651999999999998</v>
      </c>
      <c r="J16" s="312">
        <v>4.5799999999999999E-3</v>
      </c>
      <c r="K16" s="313">
        <v>0.97230000000000005</v>
      </c>
      <c r="L16" s="312">
        <v>5.5000000000000005E-3</v>
      </c>
      <c r="M16" s="312">
        <v>5.4399999999999997E-2</v>
      </c>
      <c r="N16" s="312">
        <v>1.89E-2</v>
      </c>
      <c r="O16" s="312">
        <v>1.7501</v>
      </c>
      <c r="P16" s="312">
        <v>1.308E-2</v>
      </c>
      <c r="Q16" s="312">
        <v>0.15060000000000001</v>
      </c>
      <c r="R16" s="312">
        <v>2.7239999999999997E-2</v>
      </c>
      <c r="S16" s="312">
        <v>0.10340000000000001</v>
      </c>
      <c r="T16" s="312">
        <v>6.5640000000000004E-2</v>
      </c>
      <c r="U16" s="314">
        <v>3.3599999999999998E-2</v>
      </c>
      <c r="V16" s="314">
        <v>2.6579999999999999E-2</v>
      </c>
      <c r="W16" s="312">
        <v>0.20330000000000001</v>
      </c>
      <c r="X16" s="312">
        <v>0.10540000000000001</v>
      </c>
      <c r="Y16" s="313">
        <v>0.26879999999999998</v>
      </c>
      <c r="Z16" s="313">
        <v>1.0799999999999998E-3</v>
      </c>
      <c r="AA16" s="313">
        <v>1.6559999999999999</v>
      </c>
      <c r="AB16" s="313">
        <v>0.42729999999999996</v>
      </c>
      <c r="AC16" s="312">
        <v>0.99880000000000002</v>
      </c>
      <c r="AD16" s="312">
        <v>1.0122199999999999</v>
      </c>
      <c r="AE16" s="312">
        <v>0.48420000000000002</v>
      </c>
      <c r="AF16" s="312">
        <v>9.1599999999999997E-3</v>
      </c>
      <c r="AG16" s="312">
        <v>3.5186000000000002</v>
      </c>
      <c r="AH16" s="312">
        <v>0</v>
      </c>
      <c r="AI16" s="312">
        <v>0.19359999999999999</v>
      </c>
      <c r="AJ16" s="312">
        <v>7.2480000000000003E-2</v>
      </c>
      <c r="AK16" s="313">
        <v>0.75119999999999998</v>
      </c>
      <c r="AL16" s="315">
        <v>1.6279999999999999E-2</v>
      </c>
      <c r="AM16" s="78"/>
      <c r="AN16" s="126">
        <f t="shared" si="1"/>
        <v>10</v>
      </c>
      <c r="AO16" s="127">
        <f t="shared" si="1"/>
        <v>42217</v>
      </c>
      <c r="AP16" s="128">
        <f t="shared" si="1"/>
        <v>0.41666666666666669</v>
      </c>
      <c r="AQ16" s="127">
        <f t="shared" si="1"/>
        <v>42218</v>
      </c>
      <c r="AR16" s="128">
        <f t="shared" si="1"/>
        <v>0.39583333333333331</v>
      </c>
      <c r="AS16" s="129">
        <f t="shared" si="2"/>
        <v>193.07981889663313</v>
      </c>
      <c r="AT16" s="132">
        <f t="shared" si="3"/>
        <v>97.061338609523972</v>
      </c>
      <c r="AU16" s="131">
        <f t="shared" si="4"/>
        <v>31.699570150478742</v>
      </c>
      <c r="AV16" s="131">
        <f t="shared" si="5"/>
        <v>328.54633706651265</v>
      </c>
      <c r="AW16" s="132">
        <f t="shared" si="6"/>
        <v>201.96808307760125</v>
      </c>
      <c r="AX16" s="132">
        <f t="shared" si="7"/>
        <v>76.372509292494343</v>
      </c>
      <c r="AY16" s="132">
        <f>1000/35.45*(M16-N16)*10/H16</f>
        <v>4.9053981521807168</v>
      </c>
      <c r="AZ16" s="133">
        <f t="shared" si="8"/>
        <v>471.6615081583472</v>
      </c>
      <c r="BA16" s="133">
        <f t="shared" si="9"/>
        <v>26.28436800333192</v>
      </c>
      <c r="BB16" s="133">
        <f t="shared" si="26"/>
        <v>4.730612530761781</v>
      </c>
      <c r="BC16" s="133">
        <f t="shared" si="10"/>
        <v>1.4145369711108755</v>
      </c>
      <c r="BD16" s="134">
        <f t="shared" si="11"/>
        <v>11.989052171860248</v>
      </c>
      <c r="BF16" s="139">
        <f t="shared" si="12"/>
        <v>82.461378305225907</v>
      </c>
      <c r="BG16" s="140">
        <f t="shared" si="13"/>
        <v>15.591033704241253</v>
      </c>
      <c r="BH16" s="140">
        <f t="shared" si="14"/>
        <v>1.0014104372355428</v>
      </c>
      <c r="BI16" s="140">
        <f t="shared" si="15"/>
        <v>96.287139689578723</v>
      </c>
      <c r="BJ16" s="140">
        <f t="shared" si="16"/>
        <v>5.365811222270553</v>
      </c>
      <c r="BK16" s="140">
        <f t="shared" si="17"/>
        <v>0.96572890025575453</v>
      </c>
      <c r="BL16" s="140">
        <f t="shared" si="18"/>
        <v>0.57730263157894723</v>
      </c>
      <c r="BM16" s="140">
        <f t="shared" si="19"/>
        <v>4.8852295409181643</v>
      </c>
      <c r="BN16" s="140">
        <f t="shared" si="20"/>
        <v>99.053822446702711</v>
      </c>
      <c r="BO16" s="140">
        <f t="shared" si="21"/>
        <v>108.08121198460213</v>
      </c>
      <c r="BP16" s="140">
        <f t="shared" si="22"/>
        <v>207.13503443130486</v>
      </c>
      <c r="BQ16" s="140">
        <f t="shared" si="23"/>
        <v>4.3582147089141055</v>
      </c>
      <c r="BR16" s="140">
        <f t="shared" si="24"/>
        <v>8</v>
      </c>
      <c r="BS16" s="141" t="str">
        <f t="shared" si="25"/>
        <v>○</v>
      </c>
    </row>
    <row r="17" spans="1:72" s="77" customFormat="1" ht="15" customHeight="1" thickBot="1" x14ac:dyDescent="0.35">
      <c r="A17" s="326">
        <v>11</v>
      </c>
      <c r="B17" s="188">
        <v>42218</v>
      </c>
      <c r="C17" s="189">
        <v>0.41666666666666669</v>
      </c>
      <c r="D17" s="188">
        <v>42219</v>
      </c>
      <c r="E17" s="189">
        <v>0.39583333333333331</v>
      </c>
      <c r="F17" s="327">
        <v>30.445833333333333</v>
      </c>
      <c r="G17" s="328">
        <v>2.1459999999999999</v>
      </c>
      <c r="H17" s="168">
        <f t="shared" si="0"/>
        <v>2.0721259972263035</v>
      </c>
      <c r="I17" s="329">
        <v>0.29658050000000002</v>
      </c>
      <c r="J17" s="330">
        <v>4.5799999999999999E-3</v>
      </c>
      <c r="K17" s="331">
        <v>7.5600000000000001E-2</v>
      </c>
      <c r="L17" s="330">
        <v>5.5000000000000005E-3</v>
      </c>
      <c r="M17" s="330">
        <v>1.49E-2</v>
      </c>
      <c r="N17" s="330">
        <v>1.89E-2</v>
      </c>
      <c r="O17" s="330">
        <v>0.1983</v>
      </c>
      <c r="P17" s="330">
        <v>1.308E-2</v>
      </c>
      <c r="Q17" s="330">
        <v>6.4000000000000001E-2</v>
      </c>
      <c r="R17" s="330">
        <v>2.7239999999999997E-2</v>
      </c>
      <c r="S17" s="330">
        <v>8.7800000000000003E-2</v>
      </c>
      <c r="T17" s="330">
        <v>6.5640000000000004E-2</v>
      </c>
      <c r="U17" s="332">
        <v>2.7199999999999998E-2</v>
      </c>
      <c r="V17" s="332">
        <v>2.6579999999999999E-2</v>
      </c>
      <c r="W17" s="330">
        <v>0.1142</v>
      </c>
      <c r="X17" s="330">
        <v>0.10540000000000001</v>
      </c>
      <c r="Y17" s="331">
        <v>0.18360000000000001</v>
      </c>
      <c r="Z17" s="331">
        <v>1.0799999999999998E-3</v>
      </c>
      <c r="AA17" s="331">
        <v>0.55830000000000002</v>
      </c>
      <c r="AB17" s="331">
        <v>0.42729999999999996</v>
      </c>
      <c r="AC17" s="330">
        <v>0.85299999999999998</v>
      </c>
      <c r="AD17" s="330">
        <v>1.0122199999999999</v>
      </c>
      <c r="AE17" s="330">
        <v>8.2600000000000007E-2</v>
      </c>
      <c r="AF17" s="330">
        <v>9.1599999999999997E-3</v>
      </c>
      <c r="AG17" s="330">
        <v>3.4443000000000001</v>
      </c>
      <c r="AH17" s="330">
        <v>0</v>
      </c>
      <c r="AI17" s="330">
        <v>0.1988</v>
      </c>
      <c r="AJ17" s="330">
        <v>7.2480000000000003E-2</v>
      </c>
      <c r="AK17" s="331">
        <v>1.7586999999999999</v>
      </c>
      <c r="AL17" s="333">
        <v>1.6279999999999999E-2</v>
      </c>
      <c r="AN17" s="196">
        <f t="shared" si="1"/>
        <v>11</v>
      </c>
      <c r="AO17" s="197">
        <f t="shared" si="1"/>
        <v>42218</v>
      </c>
      <c r="AP17" s="198">
        <f t="shared" si="1"/>
        <v>0.41666666666666669</v>
      </c>
      <c r="AQ17" s="197">
        <f t="shared" si="1"/>
        <v>42219</v>
      </c>
      <c r="AR17" s="198">
        <f t="shared" si="1"/>
        <v>0.39583333333333331</v>
      </c>
      <c r="AS17" s="334">
        <f t="shared" si="2"/>
        <v>182.20792408142455</v>
      </c>
      <c r="AT17" s="335">
        <f t="shared" si="3"/>
        <v>10.195144951363023</v>
      </c>
      <c r="AU17" s="336">
        <f>1000/18.04*(+AI17-AJ17)*10/G17</f>
        <v>32.629157944549029</v>
      </c>
      <c r="AV17" s="336">
        <f t="shared" si="5"/>
        <v>485.76885803591711</v>
      </c>
      <c r="AW17" s="335">
        <f t="shared" si="6"/>
        <v>14.669822305969973</v>
      </c>
      <c r="AX17" s="335">
        <f t="shared" si="7"/>
        <v>5.4555699319889115</v>
      </c>
      <c r="AY17" s="337" t="s">
        <v>279</v>
      </c>
      <c r="AZ17" s="338">
        <f t="shared" si="8"/>
        <v>49.549033452696008</v>
      </c>
      <c r="BA17" s="338">
        <f t="shared" si="9"/>
        <v>7.7165002031532479</v>
      </c>
      <c r="BB17" s="338">
        <f t="shared" si="26"/>
        <v>2.7351228589246399</v>
      </c>
      <c r="BC17" s="338">
        <f t="shared" si="10"/>
        <v>0.12308087389950174</v>
      </c>
      <c r="BD17" s="339">
        <f t="shared" si="11"/>
        <v>1.061711499660186</v>
      </c>
      <c r="BF17" s="139">
        <f t="shared" si="12"/>
        <v>6.0795440349781398</v>
      </c>
      <c r="BG17" s="140">
        <f t="shared" si="13"/>
        <v>1.1304628285760361</v>
      </c>
      <c r="BH17" s="140">
        <f t="shared" si="14"/>
        <v>-0.11283497884344147</v>
      </c>
      <c r="BI17" s="140">
        <f t="shared" si="15"/>
        <v>10.267184035476719</v>
      </c>
      <c r="BJ17" s="140">
        <f t="shared" si="16"/>
        <v>1.5989560678555896</v>
      </c>
      <c r="BK17" s="140">
        <f t="shared" si="17"/>
        <v>0.56675191815856774</v>
      </c>
      <c r="BL17" s="140">
        <f t="shared" si="18"/>
        <v>5.0986842105263074E-2</v>
      </c>
      <c r="BM17" s="140">
        <f t="shared" si="19"/>
        <v>0.43912175648702534</v>
      </c>
      <c r="BN17" s="140">
        <f t="shared" si="20"/>
        <v>7.0971718847107343</v>
      </c>
      <c r="BO17" s="140">
        <f t="shared" si="21"/>
        <v>12.923000620083165</v>
      </c>
      <c r="BP17" s="140">
        <f t="shared" si="22"/>
        <v>20.020172504793898</v>
      </c>
      <c r="BQ17" s="140">
        <f t="shared" si="23"/>
        <v>29.09979289128211</v>
      </c>
      <c r="BR17" s="140">
        <f t="shared" si="24"/>
        <v>30</v>
      </c>
      <c r="BS17" s="141" t="str">
        <f t="shared" si="25"/>
        <v>○</v>
      </c>
    </row>
    <row r="18" spans="1:72" s="72" customFormat="1" ht="15" customHeight="1" x14ac:dyDescent="0.3">
      <c r="A18" s="117"/>
      <c r="B18" s="118"/>
      <c r="C18" s="119"/>
      <c r="D18" s="118"/>
      <c r="E18" s="119"/>
      <c r="F18" s="120"/>
      <c r="G18" s="121"/>
      <c r="H18" s="122"/>
      <c r="I18" s="12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4"/>
      <c r="AM18" s="78"/>
      <c r="AN18" s="126"/>
      <c r="AO18" s="127"/>
      <c r="AP18" s="128"/>
      <c r="AQ18" s="127"/>
      <c r="AR18" s="128"/>
      <c r="AS18" s="160"/>
      <c r="AT18" s="122"/>
      <c r="AU18" s="122"/>
      <c r="AV18" s="122"/>
      <c r="AW18" s="122"/>
      <c r="AX18" s="122"/>
      <c r="AY18" s="122"/>
      <c r="AZ18" s="161"/>
      <c r="BA18" s="161"/>
      <c r="BB18" s="161"/>
      <c r="BC18" s="161"/>
      <c r="BD18" s="162"/>
      <c r="BF18" s="163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5"/>
    </row>
    <row r="19" spans="1:72" s="72" customFormat="1" ht="15" customHeight="1" x14ac:dyDescent="0.3">
      <c r="A19" s="117"/>
      <c r="B19" s="118"/>
      <c r="C19" s="119"/>
      <c r="D19" s="118"/>
      <c r="E19" s="119"/>
      <c r="F19" s="120"/>
      <c r="G19" s="121"/>
      <c r="H19" s="122"/>
      <c r="I19" s="12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4"/>
      <c r="AM19" s="78"/>
      <c r="AN19" s="126"/>
      <c r="AO19" s="127"/>
      <c r="AP19" s="128"/>
      <c r="AQ19" s="127"/>
      <c r="AR19" s="128"/>
      <c r="AS19" s="160"/>
      <c r="AT19" s="122"/>
      <c r="AU19" s="122"/>
      <c r="AV19" s="122"/>
      <c r="AW19" s="122"/>
      <c r="AX19" s="122"/>
      <c r="AY19" s="122"/>
      <c r="AZ19" s="161"/>
      <c r="BA19" s="161"/>
      <c r="BB19" s="161"/>
      <c r="BC19" s="161"/>
      <c r="BD19" s="162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1"/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/>
      <c r="AO20" s="127"/>
      <c r="AP20" s="128"/>
      <c r="AQ20" s="127"/>
      <c r="AR20" s="128"/>
      <c r="AS20" s="160"/>
      <c r="AT20" s="122"/>
      <c r="AU20" s="122"/>
      <c r="AV20" s="122"/>
      <c r="AW20" s="122"/>
      <c r="AX20" s="122"/>
      <c r="AY20" s="122"/>
      <c r="AZ20" s="161"/>
      <c r="BA20" s="161"/>
      <c r="BB20" s="161"/>
      <c r="BC20" s="161"/>
      <c r="BD20" s="162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1"/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/>
      <c r="AO21" s="127"/>
      <c r="AP21" s="128"/>
      <c r="AQ21" s="127"/>
      <c r="AR21" s="128"/>
      <c r="AS21" s="160"/>
      <c r="AT21" s="122"/>
      <c r="AU21" s="122"/>
      <c r="AV21" s="122"/>
      <c r="AW21" s="122"/>
      <c r="AX21" s="122"/>
      <c r="AY21" s="122"/>
      <c r="AZ21" s="161"/>
      <c r="BA21" s="161"/>
      <c r="BB21" s="161"/>
      <c r="BC21" s="161"/>
      <c r="BD21" s="162"/>
      <c r="BF21" s="139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1"/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/>
      <c r="AO22" s="127"/>
      <c r="AP22" s="128"/>
      <c r="AQ22" s="127"/>
      <c r="AR22" s="128"/>
      <c r="AS22" s="160"/>
      <c r="AT22" s="122"/>
      <c r="AU22" s="122"/>
      <c r="AV22" s="122"/>
      <c r="AW22" s="122"/>
      <c r="AX22" s="122"/>
      <c r="AY22" s="122"/>
      <c r="AZ22" s="161"/>
      <c r="BA22" s="161"/>
      <c r="BB22" s="161"/>
      <c r="BC22" s="161"/>
      <c r="BD22" s="162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1"/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/>
      <c r="AO23" s="127"/>
      <c r="AP23" s="128"/>
      <c r="AQ23" s="127"/>
      <c r="AR23" s="128"/>
      <c r="AS23" s="160"/>
      <c r="AT23" s="122"/>
      <c r="AU23" s="122"/>
      <c r="AV23" s="122"/>
      <c r="AW23" s="122"/>
      <c r="AX23" s="122"/>
      <c r="AY23" s="122"/>
      <c r="AZ23" s="161"/>
      <c r="BA23" s="161"/>
      <c r="BB23" s="161"/>
      <c r="BC23" s="161"/>
      <c r="BD23" s="162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1"/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166"/>
      <c r="AN24" s="151"/>
      <c r="AO24" s="152"/>
      <c r="AP24" s="153"/>
      <c r="AQ24" s="152"/>
      <c r="AR24" s="153"/>
      <c r="AS24" s="167"/>
      <c r="AT24" s="168"/>
      <c r="AU24" s="168"/>
      <c r="AV24" s="168"/>
      <c r="AW24" s="168"/>
      <c r="AX24" s="168"/>
      <c r="AY24" s="168"/>
      <c r="AZ24" s="169"/>
      <c r="BA24" s="169"/>
      <c r="BB24" s="169"/>
      <c r="BC24" s="169"/>
      <c r="BD24" s="170"/>
      <c r="BE24" s="171"/>
      <c r="BF24" s="172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4"/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/>
      <c r="AO25" s="127"/>
      <c r="AP25" s="128"/>
      <c r="AQ25" s="127"/>
      <c r="AR25" s="128"/>
      <c r="AS25" s="160"/>
      <c r="AT25" s="122"/>
      <c r="AU25" s="122"/>
      <c r="AV25" s="122"/>
      <c r="AW25" s="122"/>
      <c r="AX25" s="122"/>
      <c r="AY25" s="122"/>
      <c r="AZ25" s="161"/>
      <c r="BA25" s="161"/>
      <c r="BB25" s="161"/>
      <c r="BC25" s="161"/>
      <c r="BD25" s="162"/>
      <c r="BE25" s="179"/>
      <c r="BF25" s="163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/>
      <c r="AO26" s="127"/>
      <c r="AP26" s="128"/>
      <c r="AQ26" s="127"/>
      <c r="AR26" s="128"/>
      <c r="AS26" s="160"/>
      <c r="AT26" s="122"/>
      <c r="AU26" s="122"/>
      <c r="AV26" s="122"/>
      <c r="AW26" s="122"/>
      <c r="AX26" s="122"/>
      <c r="AY26" s="122"/>
      <c r="AZ26" s="161"/>
      <c r="BA26" s="161"/>
      <c r="BB26" s="161"/>
      <c r="BC26" s="161"/>
      <c r="BD26" s="162"/>
      <c r="BE26" s="179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1"/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/>
      <c r="AO27" s="127"/>
      <c r="AP27" s="128"/>
      <c r="AQ27" s="127"/>
      <c r="AR27" s="128"/>
      <c r="AS27" s="160"/>
      <c r="AT27" s="122"/>
      <c r="AU27" s="122"/>
      <c r="AV27" s="122"/>
      <c r="AW27" s="122"/>
      <c r="AX27" s="122"/>
      <c r="AY27" s="122"/>
      <c r="AZ27" s="161"/>
      <c r="BA27" s="161"/>
      <c r="BB27" s="161"/>
      <c r="BC27" s="161"/>
      <c r="BD27" s="162"/>
      <c r="BE27" s="179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1"/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/>
      <c r="AO28" s="127"/>
      <c r="AP28" s="128"/>
      <c r="AQ28" s="127"/>
      <c r="AR28" s="128"/>
      <c r="AS28" s="160"/>
      <c r="AT28" s="122"/>
      <c r="AU28" s="122"/>
      <c r="AV28" s="122"/>
      <c r="AW28" s="122"/>
      <c r="AX28" s="122"/>
      <c r="AY28" s="122"/>
      <c r="AZ28" s="161"/>
      <c r="BA28" s="161"/>
      <c r="BB28" s="161"/>
      <c r="BC28" s="161"/>
      <c r="BD28" s="162"/>
      <c r="BE28" s="179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/>
      <c r="AO29" s="127"/>
      <c r="AP29" s="128"/>
      <c r="AQ29" s="127"/>
      <c r="AR29" s="128"/>
      <c r="AS29" s="160"/>
      <c r="AT29" s="122"/>
      <c r="AU29" s="122"/>
      <c r="AV29" s="122"/>
      <c r="AW29" s="122"/>
      <c r="AX29" s="122"/>
      <c r="AY29" s="122"/>
      <c r="AZ29" s="161"/>
      <c r="BA29" s="161"/>
      <c r="BB29" s="161"/>
      <c r="BC29" s="161"/>
      <c r="BD29" s="162"/>
      <c r="BE29" s="179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1"/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/>
      <c r="AO30" s="127"/>
      <c r="AP30" s="128"/>
      <c r="AQ30" s="127"/>
      <c r="AR30" s="128"/>
      <c r="AS30" s="160"/>
      <c r="AT30" s="122"/>
      <c r="AU30" s="122"/>
      <c r="AV30" s="122"/>
      <c r="AW30" s="122"/>
      <c r="AX30" s="122"/>
      <c r="AY30" s="122"/>
      <c r="AZ30" s="161"/>
      <c r="BA30" s="161"/>
      <c r="BB30" s="161"/>
      <c r="BC30" s="161"/>
      <c r="BD30" s="162"/>
      <c r="BE30" s="179"/>
      <c r="BF30" s="139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1"/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/>
      <c r="AO31" s="152"/>
      <c r="AP31" s="153"/>
      <c r="AQ31" s="152"/>
      <c r="AR31" s="153"/>
      <c r="AS31" s="183"/>
      <c r="AT31" s="148"/>
      <c r="AU31" s="148"/>
      <c r="AV31" s="148"/>
      <c r="AW31" s="148"/>
      <c r="AX31" s="148"/>
      <c r="AY31" s="148"/>
      <c r="AZ31" s="184"/>
      <c r="BA31" s="184"/>
      <c r="BB31" s="184"/>
      <c r="BC31" s="184"/>
      <c r="BD31" s="185"/>
      <c r="BE31" s="179"/>
      <c r="BF31" s="139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1"/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/>
      <c r="AO32" s="127"/>
      <c r="AP32" s="128"/>
      <c r="AQ32" s="127"/>
      <c r="AR32" s="128"/>
      <c r="AS32" s="160"/>
      <c r="AT32" s="122"/>
      <c r="AU32" s="122"/>
      <c r="AV32" s="122"/>
      <c r="AW32" s="122"/>
      <c r="AX32" s="122"/>
      <c r="AY32" s="122"/>
      <c r="AZ32" s="161"/>
      <c r="BA32" s="161"/>
      <c r="BB32" s="161"/>
      <c r="BC32" s="161"/>
      <c r="BD32" s="162"/>
      <c r="BE32" s="17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1"/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/>
      <c r="AO33" s="127"/>
      <c r="AP33" s="128"/>
      <c r="AQ33" s="127"/>
      <c r="AR33" s="128"/>
      <c r="AS33" s="160"/>
      <c r="AT33" s="122"/>
      <c r="AU33" s="122"/>
      <c r="AV33" s="122"/>
      <c r="AW33" s="122"/>
      <c r="AX33" s="122"/>
      <c r="AY33" s="122"/>
      <c r="AZ33" s="161"/>
      <c r="BA33" s="161"/>
      <c r="BB33" s="161"/>
      <c r="BC33" s="161"/>
      <c r="BD33" s="162"/>
      <c r="BE33" s="179"/>
      <c r="BF33" s="139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1"/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/>
      <c r="AO34" s="127"/>
      <c r="AP34" s="128"/>
      <c r="AQ34" s="127"/>
      <c r="AR34" s="128"/>
      <c r="AS34" s="160"/>
      <c r="AT34" s="122"/>
      <c r="AU34" s="122"/>
      <c r="AV34" s="122"/>
      <c r="AW34" s="122"/>
      <c r="AX34" s="122"/>
      <c r="AY34" s="122"/>
      <c r="AZ34" s="161"/>
      <c r="BA34" s="161"/>
      <c r="BB34" s="161"/>
      <c r="BC34" s="161"/>
      <c r="BD34" s="162"/>
      <c r="BE34" s="179"/>
      <c r="BF34" s="139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1"/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/>
      <c r="AO35" s="127"/>
      <c r="AP35" s="128"/>
      <c r="AQ35" s="127"/>
      <c r="AR35" s="128"/>
      <c r="AS35" s="160"/>
      <c r="AT35" s="122"/>
      <c r="AU35" s="122"/>
      <c r="AV35" s="122"/>
      <c r="AW35" s="122"/>
      <c r="AX35" s="122"/>
      <c r="AY35" s="122"/>
      <c r="AZ35" s="161"/>
      <c r="BA35" s="161"/>
      <c r="BB35" s="161"/>
      <c r="BC35" s="161"/>
      <c r="BD35" s="162"/>
      <c r="BE35" s="179"/>
      <c r="BF35" s="139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1"/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/>
      <c r="AO36" s="127"/>
      <c r="AP36" s="128"/>
      <c r="AQ36" s="127"/>
      <c r="AR36" s="128"/>
      <c r="AS36" s="160"/>
      <c r="AT36" s="122"/>
      <c r="AU36" s="122"/>
      <c r="AV36" s="122"/>
      <c r="AW36" s="122"/>
      <c r="AX36" s="122"/>
      <c r="AY36" s="122"/>
      <c r="AZ36" s="161"/>
      <c r="BA36" s="161"/>
      <c r="BB36" s="161"/>
      <c r="BC36" s="161"/>
      <c r="BD36" s="162"/>
      <c r="BE36" s="179"/>
      <c r="BF36" s="139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1"/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/>
      <c r="AO37" s="127"/>
      <c r="AP37" s="128"/>
      <c r="AQ37" s="127"/>
      <c r="AR37" s="128"/>
      <c r="AS37" s="160"/>
      <c r="AT37" s="122"/>
      <c r="AU37" s="122"/>
      <c r="AV37" s="122"/>
      <c r="AW37" s="122"/>
      <c r="AX37" s="122"/>
      <c r="AY37" s="122"/>
      <c r="AZ37" s="161"/>
      <c r="BA37" s="161"/>
      <c r="BB37" s="161"/>
      <c r="BC37" s="161"/>
      <c r="BD37" s="162"/>
      <c r="BE37" s="179"/>
      <c r="BF37" s="139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1"/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90"/>
      <c r="G38" s="191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96"/>
      <c r="AO38" s="197"/>
      <c r="AP38" s="198"/>
      <c r="AQ38" s="197"/>
      <c r="AR38" s="198"/>
      <c r="AS38" s="167"/>
      <c r="AT38" s="168"/>
      <c r="AU38" s="168"/>
      <c r="AV38" s="168"/>
      <c r="AW38" s="168"/>
      <c r="AX38" s="168"/>
      <c r="AY38" s="168"/>
      <c r="AZ38" s="169"/>
      <c r="BA38" s="169"/>
      <c r="BB38" s="169"/>
      <c r="BC38" s="169"/>
      <c r="BD38" s="170"/>
      <c r="BE38" s="179"/>
      <c r="BF38" s="172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4"/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  <colBreaks count="2" manualBreakCount="2">
    <brk id="39" max="39" man="1"/>
    <brk id="57" max="3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zoomScaleNormal="100" zoomScaleSheetLayoutView="90" workbookViewId="0">
      <selection activeCell="A2" sqref="A2"/>
    </sheetView>
  </sheetViews>
  <sheetFormatPr defaultColWidth="9" defaultRowHeight="14" x14ac:dyDescent="0.3"/>
  <cols>
    <col min="1" max="1" width="7.6328125" style="65" customWidth="1"/>
    <col min="2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102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454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山梨県衛生環境研究所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454</v>
      </c>
      <c r="C4" s="85"/>
      <c r="D4" s="75"/>
      <c r="E4" s="75" t="s">
        <v>455</v>
      </c>
      <c r="F4" s="86" t="s">
        <v>456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山梨県衛生環境研究所</v>
      </c>
      <c r="AP4" s="81"/>
      <c r="AQ4" s="75"/>
      <c r="AR4" s="75" t="str">
        <f>E4</f>
        <v>担当者：</v>
      </c>
      <c r="AS4" s="75" t="str">
        <f>F4</f>
        <v>大橋　泰浩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S6" s="89" t="s">
        <v>112</v>
      </c>
      <c r="AW6" s="71"/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43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142</v>
      </c>
      <c r="J9" s="733"/>
      <c r="K9" s="732" t="s">
        <v>143</v>
      </c>
      <c r="L9" s="733"/>
      <c r="M9" s="732" t="s">
        <v>144</v>
      </c>
      <c r="N9" s="733"/>
      <c r="O9" s="732" t="s">
        <v>145</v>
      </c>
      <c r="P9" s="733"/>
      <c r="Q9" s="732" t="s">
        <v>146</v>
      </c>
      <c r="R9" s="733"/>
      <c r="S9" s="732" t="s">
        <v>147</v>
      </c>
      <c r="T9" s="733"/>
      <c r="U9" s="732" t="s">
        <v>264</v>
      </c>
      <c r="V9" s="733"/>
      <c r="W9" s="732" t="s">
        <v>265</v>
      </c>
      <c r="X9" s="733"/>
      <c r="Y9" s="732" t="s">
        <v>142</v>
      </c>
      <c r="Z9" s="733"/>
      <c r="AA9" s="732" t="s">
        <v>143</v>
      </c>
      <c r="AB9" s="733"/>
      <c r="AC9" s="732" t="s">
        <v>144</v>
      </c>
      <c r="AD9" s="733"/>
      <c r="AE9" s="732" t="s">
        <v>145</v>
      </c>
      <c r="AF9" s="733"/>
      <c r="AG9" s="732" t="s">
        <v>142</v>
      </c>
      <c r="AH9" s="733"/>
      <c r="AI9" s="732" t="s">
        <v>144</v>
      </c>
      <c r="AJ9" s="733"/>
      <c r="AK9" s="732" t="s">
        <v>145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266</v>
      </c>
      <c r="BF9" s="724" t="s">
        <v>142</v>
      </c>
      <c r="BG9" s="718" t="s">
        <v>143</v>
      </c>
      <c r="BH9" s="718" t="s">
        <v>144</v>
      </c>
      <c r="BI9" s="718" t="s">
        <v>145</v>
      </c>
      <c r="BJ9" s="718" t="s">
        <v>146</v>
      </c>
      <c r="BK9" s="718" t="s">
        <v>147</v>
      </c>
      <c r="BL9" s="718" t="s">
        <v>148</v>
      </c>
      <c r="BM9" s="720" t="s">
        <v>266</v>
      </c>
      <c r="BN9" s="103" t="s">
        <v>267</v>
      </c>
      <c r="BO9" s="103" t="s">
        <v>268</v>
      </c>
      <c r="BP9" s="103" t="s">
        <v>269</v>
      </c>
      <c r="BQ9" s="103" t="s">
        <v>270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271</v>
      </c>
      <c r="G10" s="108" t="s">
        <v>272</v>
      </c>
      <c r="H10" s="108" t="s">
        <v>272</v>
      </c>
      <c r="I10" s="109" t="s">
        <v>273</v>
      </c>
      <c r="J10" s="109" t="s">
        <v>274</v>
      </c>
      <c r="K10" s="109" t="s">
        <v>273</v>
      </c>
      <c r="L10" s="109" t="s">
        <v>274</v>
      </c>
      <c r="M10" s="109" t="s">
        <v>273</v>
      </c>
      <c r="N10" s="109" t="s">
        <v>274</v>
      </c>
      <c r="O10" s="109" t="s">
        <v>273</v>
      </c>
      <c r="P10" s="109" t="s">
        <v>274</v>
      </c>
      <c r="Q10" s="109" t="s">
        <v>273</v>
      </c>
      <c r="R10" s="109" t="s">
        <v>274</v>
      </c>
      <c r="S10" s="109" t="s">
        <v>273</v>
      </c>
      <c r="T10" s="109" t="s">
        <v>274</v>
      </c>
      <c r="U10" s="109" t="s">
        <v>273</v>
      </c>
      <c r="V10" s="109" t="s">
        <v>274</v>
      </c>
      <c r="W10" s="109" t="s">
        <v>273</v>
      </c>
      <c r="X10" s="109" t="s">
        <v>274</v>
      </c>
      <c r="Y10" s="109" t="s">
        <v>273</v>
      </c>
      <c r="Z10" s="109" t="s">
        <v>274</v>
      </c>
      <c r="AA10" s="109" t="s">
        <v>273</v>
      </c>
      <c r="AB10" s="109" t="s">
        <v>274</v>
      </c>
      <c r="AC10" s="109" t="s">
        <v>273</v>
      </c>
      <c r="AD10" s="109" t="s">
        <v>274</v>
      </c>
      <c r="AE10" s="109" t="s">
        <v>273</v>
      </c>
      <c r="AF10" s="109" t="s">
        <v>274</v>
      </c>
      <c r="AG10" s="109" t="s">
        <v>273</v>
      </c>
      <c r="AH10" s="109" t="s">
        <v>274</v>
      </c>
      <c r="AI10" s="109" t="s">
        <v>273</v>
      </c>
      <c r="AJ10" s="109" t="s">
        <v>274</v>
      </c>
      <c r="AK10" s="109" t="s">
        <v>273</v>
      </c>
      <c r="AL10" s="110" t="s">
        <v>274</v>
      </c>
      <c r="AM10" s="111"/>
      <c r="AN10" s="105"/>
      <c r="AO10" s="112" t="s">
        <v>275</v>
      </c>
      <c r="AP10" s="113" t="s">
        <v>276</v>
      </c>
      <c r="AQ10" s="112" t="s">
        <v>275</v>
      </c>
      <c r="AR10" s="113" t="s">
        <v>276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25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>
        <v>1</v>
      </c>
      <c r="B11" s="118">
        <v>42212</v>
      </c>
      <c r="C11" s="119">
        <v>0.41666666666666669</v>
      </c>
      <c r="D11" s="118">
        <v>42213</v>
      </c>
      <c r="E11" s="119">
        <v>0.39583333333333331</v>
      </c>
      <c r="F11" s="120">
        <v>29.8</v>
      </c>
      <c r="G11" s="121">
        <v>1.4780000000000086</v>
      </c>
      <c r="H11" s="122">
        <f t="shared" ref="H11:H17" si="0">G11*(20+273)/(F11+273)</f>
        <v>1.4301651254953849</v>
      </c>
      <c r="I11" s="123">
        <v>0.2014</v>
      </c>
      <c r="J11" s="120">
        <v>-3.0799999999999998E-3</v>
      </c>
      <c r="K11" s="120">
        <v>0.1207</v>
      </c>
      <c r="L11" s="120">
        <v>-7.3999999999999995E-3</v>
      </c>
      <c r="M11" s="120">
        <v>6.8999999999999999E-3</v>
      </c>
      <c r="N11" s="120">
        <v>-2.7300000000000001E-2</v>
      </c>
      <c r="O11" s="120">
        <v>7.1800000000000003E-2</v>
      </c>
      <c r="P11" s="120">
        <v>1.2160000000000001E-2</v>
      </c>
      <c r="Q11" s="120">
        <v>5.6099999999999997E-2</v>
      </c>
      <c r="R11" s="120">
        <v>-9.2600000000000009E-3</v>
      </c>
      <c r="S11" s="120">
        <v>1.7600000000000001E-2</v>
      </c>
      <c r="T11" s="120">
        <v>5.3200000000000001E-3</v>
      </c>
      <c r="U11" s="120">
        <v>4.9599999999999998E-2</v>
      </c>
      <c r="V11" s="120">
        <v>4.1079999999999992E-2</v>
      </c>
      <c r="W11" s="120">
        <v>6.6299999999999998E-2</v>
      </c>
      <c r="X11" s="120">
        <v>7.5900000000000009E-2</v>
      </c>
      <c r="Y11" s="120">
        <v>3.4200000000000001E-2</v>
      </c>
      <c r="Z11" s="120">
        <v>-4.5599999999999998E-3</v>
      </c>
      <c r="AA11" s="120">
        <v>0.34079999999999999</v>
      </c>
      <c r="AB11" s="120">
        <v>0.28422000000000003</v>
      </c>
      <c r="AC11" s="120">
        <v>0.4052</v>
      </c>
      <c r="AD11" s="120">
        <v>0.37034</v>
      </c>
      <c r="AE11" s="120">
        <v>2.4400000000000002E-2</v>
      </c>
      <c r="AF11" s="120">
        <v>1.7859999999999997E-2</v>
      </c>
      <c r="AG11" s="120">
        <v>9.9000000000000005E-2</v>
      </c>
      <c r="AH11" s="120">
        <v>8.7999999999999988E-3</v>
      </c>
      <c r="AI11" s="120">
        <v>3.3999999999999998E-3</v>
      </c>
      <c r="AJ11" s="120">
        <v>-1.83E-2</v>
      </c>
      <c r="AK11" s="120">
        <v>0.16539999999999999</v>
      </c>
      <c r="AL11" s="124">
        <v>1.6300000000000002E-2</v>
      </c>
      <c r="AM11" s="125"/>
      <c r="AN11" s="126">
        <f t="shared" ref="AN11:AR38" si="1">A11</f>
        <v>1</v>
      </c>
      <c r="AO11" s="127">
        <f t="shared" si="1"/>
        <v>42212</v>
      </c>
      <c r="AP11" s="128">
        <f t="shared" si="1"/>
        <v>0.41666666666666669</v>
      </c>
      <c r="AQ11" s="127">
        <f t="shared" si="1"/>
        <v>42213</v>
      </c>
      <c r="AR11" s="128">
        <f t="shared" si="1"/>
        <v>0.39583333333333331</v>
      </c>
      <c r="AS11" s="129">
        <f t="shared" ref="AS11:AS38" si="2">1000/96.06*(Y11-Z11+AG11-AH11)*20/H11</f>
        <v>18.773975822502436</v>
      </c>
      <c r="AT11" s="130">
        <f t="shared" ref="AT11:AT38" si="3">1000/62.01*(AA11-AB11)*20/H11</f>
        <v>12.759833982878895</v>
      </c>
      <c r="AU11" s="130">
        <f t="shared" ref="AU11:AU17" si="4">1000/35.45*(AC11-AD11+AI11-AJ11)*20/H11</f>
        <v>22.311921503380429</v>
      </c>
      <c r="AV11" s="131">
        <f t="shared" ref="AV11:AV38" si="5">1000/18.04*(AE11-AF11+AK11-AL11)*20/H11</f>
        <v>120.65032635688597</v>
      </c>
      <c r="AW11" s="132">
        <f t="shared" ref="AW11:AW17" si="6">1000/96.06*(I11-J11)*20/H11</f>
        <v>29.768165137913293</v>
      </c>
      <c r="AX11" s="132">
        <f t="shared" ref="AX11:AX17" si="7">1000/62.01*(K11-L11)*20/H11</f>
        <v>28.888913630378006</v>
      </c>
      <c r="AY11" s="132">
        <f t="shared" ref="AY11:AY17" si="8">1000/35.45*(M11-N11)*20/H11</f>
        <v>13.491296241435832</v>
      </c>
      <c r="AZ11" s="133">
        <f t="shared" ref="AZ11:AZ17" si="9">1000/18.04*(O11-P11)*20/H11</f>
        <v>46.232237624805194</v>
      </c>
      <c r="BA11" s="133">
        <f t="shared" ref="BA11:BA17" si="10">1000/22.99*(Q11-R11)*20/H11</f>
        <v>39.757300131714679</v>
      </c>
      <c r="BB11" s="133">
        <f t="shared" ref="BB11:BB17" si="11">1000/39.1*(S11-T11)*20/H11</f>
        <v>4.3920312496068679</v>
      </c>
      <c r="BC11" s="133">
        <f t="shared" ref="BC11:BC17" si="12">1000/24.31*(U11-V11)*20/H11</f>
        <v>4.9011551198888545</v>
      </c>
      <c r="BD11" s="134">
        <f t="shared" ref="BD11:BD17" si="13">1000/40*(W11-X11)*20/H11</f>
        <v>-3.3562558018168476</v>
      </c>
      <c r="BF11" s="135">
        <f t="shared" ref="BF11:BF38" si="14">(I11-J11)/48.03*1000</f>
        <v>4.2573391630231106</v>
      </c>
      <c r="BG11" s="136">
        <f t="shared" ref="BG11:BG38" si="15">(K11-L11)/62.01*1000</f>
        <v>2.065795839380745</v>
      </c>
      <c r="BH11" s="136">
        <f t="shared" ref="BH11:BH38" si="16">(M11-N11)/35.45*1000</f>
        <v>0.96473906911142449</v>
      </c>
      <c r="BI11" s="136">
        <f t="shared" ref="BI11:BI38" si="17">(O11-P11)/18.04*1000</f>
        <v>3.3059866962305988</v>
      </c>
      <c r="BJ11" s="136">
        <f t="shared" ref="BJ11:BJ38" si="18">(Q11-R11)/22.99*1000</f>
        <v>2.8429752066115705</v>
      </c>
      <c r="BK11" s="136">
        <f t="shared" ref="BK11:BK38" si="19">(S11-T11)/39.1*1000</f>
        <v>0.31406649616368287</v>
      </c>
      <c r="BL11" s="136">
        <f t="shared" ref="BL11:BL38" si="20">(U11-V11)/12.16*1000</f>
        <v>0.7006578947368427</v>
      </c>
      <c r="BM11" s="136">
        <f t="shared" ref="BM11:BM38" si="21">(W11-X11)/20.04*1000</f>
        <v>-0.47904191616766528</v>
      </c>
      <c r="BN11" s="136">
        <f t="shared" ref="BN11:BN38" si="22">SUM(BF11:BH11)</f>
        <v>7.2878740715152803</v>
      </c>
      <c r="BO11" s="136">
        <f t="shared" ref="BO11:BO38" si="23">SUM(BI11:BM11)</f>
        <v>6.6846443775750295</v>
      </c>
      <c r="BP11" s="136">
        <f t="shared" ref="BP11:BP38" si="24">BN11+BO11</f>
        <v>13.972518449090309</v>
      </c>
      <c r="BQ11" s="136">
        <f t="shared" ref="BQ11:BQ38" si="25">(BO11-BN11)/BP11*100</f>
        <v>-4.3172581674388448</v>
      </c>
      <c r="BR11" s="136">
        <f t="shared" ref="BR11:BR38" si="26">IF(BP11&lt;50,30,IF(BP11&lt;=100,15,8))</f>
        <v>30</v>
      </c>
      <c r="BS11" s="137" t="str">
        <f t="shared" ref="BS11:BS38" si="27">IF(ABS(BQ11)&lt;BR11,"○","×")</f>
        <v>○</v>
      </c>
    </row>
    <row r="12" spans="1:71" s="72" customFormat="1" ht="15" customHeight="1" x14ac:dyDescent="0.3">
      <c r="A12" s="117">
        <v>2</v>
      </c>
      <c r="B12" s="118">
        <v>42213</v>
      </c>
      <c r="C12" s="119">
        <v>0.41666666666666669</v>
      </c>
      <c r="D12" s="118">
        <v>42214</v>
      </c>
      <c r="E12" s="119">
        <v>0.39583333333333331</v>
      </c>
      <c r="F12" s="120">
        <v>28.925000000000001</v>
      </c>
      <c r="G12" s="371" t="s">
        <v>457</v>
      </c>
      <c r="H12" s="372" t="s">
        <v>232</v>
      </c>
      <c r="I12" s="373" t="s">
        <v>232</v>
      </c>
      <c r="J12" s="374" t="s">
        <v>232</v>
      </c>
      <c r="K12" s="374" t="s">
        <v>232</v>
      </c>
      <c r="L12" s="374" t="s">
        <v>232</v>
      </c>
      <c r="M12" s="374" t="s">
        <v>232</v>
      </c>
      <c r="N12" s="374" t="s">
        <v>232</v>
      </c>
      <c r="O12" s="374" t="s">
        <v>232</v>
      </c>
      <c r="P12" s="374" t="s">
        <v>232</v>
      </c>
      <c r="Q12" s="374" t="s">
        <v>232</v>
      </c>
      <c r="R12" s="374" t="s">
        <v>232</v>
      </c>
      <c r="S12" s="374" t="s">
        <v>232</v>
      </c>
      <c r="T12" s="374" t="s">
        <v>232</v>
      </c>
      <c r="U12" s="374" t="s">
        <v>232</v>
      </c>
      <c r="V12" s="374" t="s">
        <v>232</v>
      </c>
      <c r="W12" s="374" t="s">
        <v>232</v>
      </c>
      <c r="X12" s="374" t="s">
        <v>232</v>
      </c>
      <c r="Y12" s="374" t="s">
        <v>232</v>
      </c>
      <c r="Z12" s="374" t="s">
        <v>232</v>
      </c>
      <c r="AA12" s="374" t="s">
        <v>232</v>
      </c>
      <c r="AB12" s="374" t="s">
        <v>232</v>
      </c>
      <c r="AC12" s="374" t="s">
        <v>232</v>
      </c>
      <c r="AD12" s="374" t="s">
        <v>232</v>
      </c>
      <c r="AE12" s="374" t="s">
        <v>232</v>
      </c>
      <c r="AF12" s="374" t="s">
        <v>232</v>
      </c>
      <c r="AG12" s="374" t="s">
        <v>232</v>
      </c>
      <c r="AH12" s="374" t="s">
        <v>232</v>
      </c>
      <c r="AI12" s="374" t="s">
        <v>232</v>
      </c>
      <c r="AJ12" s="374" t="s">
        <v>232</v>
      </c>
      <c r="AK12" s="374" t="s">
        <v>232</v>
      </c>
      <c r="AL12" s="375" t="s">
        <v>232</v>
      </c>
      <c r="AM12" s="138"/>
      <c r="AN12" s="126">
        <f t="shared" si="1"/>
        <v>2</v>
      </c>
      <c r="AO12" s="127">
        <f t="shared" si="1"/>
        <v>42213</v>
      </c>
      <c r="AP12" s="128">
        <f t="shared" si="1"/>
        <v>0.41666666666666669</v>
      </c>
      <c r="AQ12" s="127">
        <f t="shared" si="1"/>
        <v>42214</v>
      </c>
      <c r="AR12" s="128">
        <f t="shared" si="1"/>
        <v>0.39583333333333331</v>
      </c>
      <c r="AS12" s="129" t="e">
        <f t="shared" si="2"/>
        <v>#VALUE!</v>
      </c>
      <c r="AT12" s="132" t="e">
        <f t="shared" si="3"/>
        <v>#VALUE!</v>
      </c>
      <c r="AU12" s="130" t="e">
        <f t="shared" si="4"/>
        <v>#VALUE!</v>
      </c>
      <c r="AV12" s="131" t="e">
        <f t="shared" si="5"/>
        <v>#VALUE!</v>
      </c>
      <c r="AW12" s="132" t="e">
        <f t="shared" si="6"/>
        <v>#VALUE!</v>
      </c>
      <c r="AX12" s="132" t="e">
        <f t="shared" si="7"/>
        <v>#VALUE!</v>
      </c>
      <c r="AY12" s="132" t="e">
        <f t="shared" si="8"/>
        <v>#VALUE!</v>
      </c>
      <c r="AZ12" s="133" t="e">
        <f t="shared" si="9"/>
        <v>#VALUE!</v>
      </c>
      <c r="BA12" s="133" t="e">
        <f t="shared" si="10"/>
        <v>#VALUE!</v>
      </c>
      <c r="BB12" s="133" t="e">
        <f t="shared" si="11"/>
        <v>#VALUE!</v>
      </c>
      <c r="BC12" s="133" t="e">
        <f t="shared" si="12"/>
        <v>#VALUE!</v>
      </c>
      <c r="BD12" s="134" t="e">
        <f t="shared" si="13"/>
        <v>#VALUE!</v>
      </c>
      <c r="BF12" s="139" t="e">
        <f t="shared" si="14"/>
        <v>#VALUE!</v>
      </c>
      <c r="BG12" s="140" t="e">
        <f t="shared" si="15"/>
        <v>#VALUE!</v>
      </c>
      <c r="BH12" s="140" t="e">
        <f t="shared" si="16"/>
        <v>#VALUE!</v>
      </c>
      <c r="BI12" s="140" t="e">
        <f t="shared" si="17"/>
        <v>#VALUE!</v>
      </c>
      <c r="BJ12" s="140" t="e">
        <f t="shared" si="18"/>
        <v>#VALUE!</v>
      </c>
      <c r="BK12" s="140" t="e">
        <f t="shared" si="19"/>
        <v>#VALUE!</v>
      </c>
      <c r="BL12" s="140" t="e">
        <f t="shared" si="20"/>
        <v>#VALUE!</v>
      </c>
      <c r="BM12" s="140" t="e">
        <f t="shared" si="21"/>
        <v>#VALUE!</v>
      </c>
      <c r="BN12" s="140" t="e">
        <f t="shared" si="22"/>
        <v>#VALUE!</v>
      </c>
      <c r="BO12" s="140" t="e">
        <f t="shared" si="23"/>
        <v>#VALUE!</v>
      </c>
      <c r="BP12" s="140" t="e">
        <f t="shared" si="24"/>
        <v>#VALUE!</v>
      </c>
      <c r="BQ12" s="140" t="e">
        <f t="shared" si="25"/>
        <v>#VALUE!</v>
      </c>
      <c r="BR12" s="140" t="e">
        <f t="shared" si="26"/>
        <v>#VALUE!</v>
      </c>
      <c r="BS12" s="141" t="e">
        <f t="shared" si="27"/>
        <v>#VALUE!</v>
      </c>
    </row>
    <row r="13" spans="1:71" s="72" customFormat="1" ht="15" customHeight="1" x14ac:dyDescent="0.3">
      <c r="A13" s="117">
        <v>3</v>
      </c>
      <c r="B13" s="118">
        <v>42214</v>
      </c>
      <c r="C13" s="119">
        <v>0.41666666666666669</v>
      </c>
      <c r="D13" s="118">
        <v>42215</v>
      </c>
      <c r="E13" s="119">
        <v>0.39583333333333331</v>
      </c>
      <c r="F13" s="120">
        <v>29.345833333333331</v>
      </c>
      <c r="G13" s="121">
        <v>1.9170000000000016</v>
      </c>
      <c r="H13" s="122">
        <f t="shared" si="0"/>
        <v>1.8577434780811175</v>
      </c>
      <c r="I13" s="123">
        <v>0.83299999999999996</v>
      </c>
      <c r="J13" s="120">
        <v>-3.0799999999999998E-3</v>
      </c>
      <c r="K13" s="120">
        <v>0.1051</v>
      </c>
      <c r="L13" s="120">
        <v>-7.3999999999999995E-3</v>
      </c>
      <c r="M13" s="120">
        <v>-1.77E-2</v>
      </c>
      <c r="N13" s="120">
        <v>-2.7300000000000001E-2</v>
      </c>
      <c r="O13" s="120">
        <v>0.27179999999999999</v>
      </c>
      <c r="P13" s="120">
        <v>1.2160000000000001E-2</v>
      </c>
      <c r="Q13" s="120">
        <v>3.5700000000000003E-2</v>
      </c>
      <c r="R13" s="120">
        <v>-9.2600000000000009E-3</v>
      </c>
      <c r="S13" s="120">
        <v>1.5900000000000001E-2</v>
      </c>
      <c r="T13" s="120">
        <v>5.3200000000000001E-3</v>
      </c>
      <c r="U13" s="120">
        <v>0.05</v>
      </c>
      <c r="V13" s="120">
        <v>4.1079999999999992E-2</v>
      </c>
      <c r="W13" s="120">
        <v>8.3000000000000004E-2</v>
      </c>
      <c r="X13" s="120">
        <v>7.5900000000000009E-2</v>
      </c>
      <c r="Y13" s="120">
        <v>5.5199999999999999E-2</v>
      </c>
      <c r="Z13" s="120">
        <v>-4.5599999999999998E-3</v>
      </c>
      <c r="AA13" s="120">
        <v>0.4909</v>
      </c>
      <c r="AB13" s="120">
        <v>0.28422000000000003</v>
      </c>
      <c r="AC13" s="120">
        <v>0.4239</v>
      </c>
      <c r="AD13" s="120">
        <v>0.37034</v>
      </c>
      <c r="AE13" s="120">
        <v>4.7699999999999999E-2</v>
      </c>
      <c r="AF13" s="120">
        <v>1.7859999999999997E-2</v>
      </c>
      <c r="AG13" s="120">
        <v>0.20930000000000001</v>
      </c>
      <c r="AH13" s="120">
        <v>8.7999999999999988E-3</v>
      </c>
      <c r="AI13" s="120">
        <v>1.9E-3</v>
      </c>
      <c r="AJ13" s="120">
        <v>-1.83E-2</v>
      </c>
      <c r="AK13" s="120">
        <v>0.16689999999999999</v>
      </c>
      <c r="AL13" s="124">
        <v>1.6300000000000002E-2</v>
      </c>
      <c r="AM13" s="78"/>
      <c r="AN13" s="126">
        <f t="shared" si="1"/>
        <v>3</v>
      </c>
      <c r="AO13" s="127">
        <f t="shared" si="1"/>
        <v>42214</v>
      </c>
      <c r="AP13" s="128">
        <f t="shared" si="1"/>
        <v>0.41666666666666669</v>
      </c>
      <c r="AQ13" s="127">
        <f t="shared" si="1"/>
        <v>42215</v>
      </c>
      <c r="AR13" s="128">
        <f t="shared" si="1"/>
        <v>0.39583333333333331</v>
      </c>
      <c r="AS13" s="129">
        <f t="shared" si="2"/>
        <v>29.168164021899337</v>
      </c>
      <c r="AT13" s="132">
        <f t="shared" si="3"/>
        <v>35.882357753198725</v>
      </c>
      <c r="AU13" s="130">
        <f t="shared" si="4"/>
        <v>22.400046447986597</v>
      </c>
      <c r="AV13" s="131">
        <f t="shared" si="5"/>
        <v>107.68136088661299</v>
      </c>
      <c r="AW13" s="132">
        <f t="shared" si="6"/>
        <v>93.702138536193019</v>
      </c>
      <c r="AX13" s="132">
        <f t="shared" si="7"/>
        <v>19.531474972105947</v>
      </c>
      <c r="AY13" s="132">
        <f t="shared" si="8"/>
        <v>2.9154073468095363</v>
      </c>
      <c r="AZ13" s="133">
        <f t="shared" si="9"/>
        <v>154.94562480935602</v>
      </c>
      <c r="BA13" s="133">
        <f t="shared" si="10"/>
        <v>21.053852772854764</v>
      </c>
      <c r="BB13" s="133">
        <f t="shared" si="11"/>
        <v>2.9130850247808273</v>
      </c>
      <c r="BC13" s="133">
        <f t="shared" si="12"/>
        <v>3.9502460354279441</v>
      </c>
      <c r="BD13" s="134">
        <f t="shared" si="13"/>
        <v>1.9109204483209004</v>
      </c>
      <c r="BF13" s="139">
        <f t="shared" si="14"/>
        <v>17.407453674786591</v>
      </c>
      <c r="BG13" s="140">
        <f t="shared" si="15"/>
        <v>1.8142235123367199</v>
      </c>
      <c r="BH13" s="140">
        <f t="shared" si="16"/>
        <v>0.27080394922425954</v>
      </c>
      <c r="BI13" s="140">
        <f t="shared" si="17"/>
        <v>14.392461197339246</v>
      </c>
      <c r="BJ13" s="140">
        <f t="shared" si="18"/>
        <v>1.9556328838625492</v>
      </c>
      <c r="BK13" s="140">
        <f t="shared" si="19"/>
        <v>0.27058823529411768</v>
      </c>
      <c r="BL13" s="140">
        <f t="shared" si="20"/>
        <v>0.73355263157894823</v>
      </c>
      <c r="BM13" s="140">
        <f t="shared" si="21"/>
        <v>0.35429141716566848</v>
      </c>
      <c r="BN13" s="140">
        <f t="shared" si="22"/>
        <v>19.492481136347571</v>
      </c>
      <c r="BO13" s="140">
        <f t="shared" si="23"/>
        <v>17.706526365240531</v>
      </c>
      <c r="BP13" s="140">
        <f t="shared" si="24"/>
        <v>37.199007501588099</v>
      </c>
      <c r="BQ13" s="140">
        <f t="shared" si="25"/>
        <v>-4.8010817789447584</v>
      </c>
      <c r="BR13" s="140">
        <f t="shared" si="26"/>
        <v>30</v>
      </c>
      <c r="BS13" s="141" t="str">
        <f t="shared" si="27"/>
        <v>○</v>
      </c>
    </row>
    <row r="14" spans="1:71" s="72" customFormat="1" ht="15" customHeight="1" x14ac:dyDescent="0.3">
      <c r="A14" s="117">
        <v>4</v>
      </c>
      <c r="B14" s="118">
        <v>42215</v>
      </c>
      <c r="C14" s="119">
        <v>0.41666666666666669</v>
      </c>
      <c r="D14" s="118">
        <v>42216</v>
      </c>
      <c r="E14" s="119">
        <v>0.39583333333333331</v>
      </c>
      <c r="F14" s="120">
        <v>28.720833333333335</v>
      </c>
      <c r="G14" s="121">
        <v>1.9050000000000011</v>
      </c>
      <c r="H14" s="122">
        <f t="shared" si="0"/>
        <v>1.8499385469459912</v>
      </c>
      <c r="I14" s="123">
        <v>0.59050000000000002</v>
      </c>
      <c r="J14" s="120">
        <v>-3.0799999999999998E-3</v>
      </c>
      <c r="K14" s="120">
        <v>4.36E-2</v>
      </c>
      <c r="L14" s="120">
        <v>-7.3999999999999995E-3</v>
      </c>
      <c r="M14" s="120">
        <v>-1.09E-2</v>
      </c>
      <c r="N14" s="120">
        <v>-2.7300000000000001E-2</v>
      </c>
      <c r="O14" s="120">
        <v>0.2034</v>
      </c>
      <c r="P14" s="120">
        <v>1.2160000000000001E-2</v>
      </c>
      <c r="Q14" s="120">
        <v>1.43E-2</v>
      </c>
      <c r="R14" s="120">
        <v>-9.2600000000000009E-3</v>
      </c>
      <c r="S14" s="120">
        <v>2.0799999999999999E-2</v>
      </c>
      <c r="T14" s="120">
        <v>5.3200000000000001E-3</v>
      </c>
      <c r="U14" s="120">
        <v>0</v>
      </c>
      <c r="V14" s="120">
        <v>4.1079999999999992E-2</v>
      </c>
      <c r="W14" s="120">
        <v>8.2299999999999998E-2</v>
      </c>
      <c r="X14" s="120">
        <v>7.5900000000000009E-2</v>
      </c>
      <c r="Y14" s="120">
        <v>4.0099999999999997E-2</v>
      </c>
      <c r="Z14" s="120">
        <v>-4.5599999999999998E-3</v>
      </c>
      <c r="AA14" s="120">
        <v>0.36649999999999999</v>
      </c>
      <c r="AB14" s="120">
        <v>0.28422000000000003</v>
      </c>
      <c r="AC14" s="120">
        <v>0.40010000000000001</v>
      </c>
      <c r="AD14" s="120">
        <v>0.37034</v>
      </c>
      <c r="AE14" s="120">
        <v>2.8400000000000002E-2</v>
      </c>
      <c r="AF14" s="120">
        <v>1.7859999999999997E-2</v>
      </c>
      <c r="AG14" s="120">
        <v>0.109</v>
      </c>
      <c r="AH14" s="120">
        <v>8.7999999999999988E-3</v>
      </c>
      <c r="AI14" s="120">
        <v>-9.5999999999999992E-3</v>
      </c>
      <c r="AJ14" s="120">
        <v>-1.83E-2</v>
      </c>
      <c r="AK14" s="120">
        <v>0.1764</v>
      </c>
      <c r="AL14" s="124">
        <v>1.6300000000000002E-2</v>
      </c>
      <c r="AM14" s="78"/>
      <c r="AN14" s="126">
        <f t="shared" si="1"/>
        <v>4</v>
      </c>
      <c r="AO14" s="127">
        <f t="shared" si="1"/>
        <v>42215</v>
      </c>
      <c r="AP14" s="128">
        <f t="shared" si="1"/>
        <v>0.41666666666666669</v>
      </c>
      <c r="AQ14" s="127">
        <f t="shared" si="1"/>
        <v>42216</v>
      </c>
      <c r="AR14" s="128">
        <f t="shared" si="1"/>
        <v>0.39583333333333331</v>
      </c>
      <c r="AS14" s="129">
        <f t="shared" si="2"/>
        <v>16.303415331641361</v>
      </c>
      <c r="AT14" s="130">
        <f t="shared" si="3"/>
        <v>14.345155011073594</v>
      </c>
      <c r="AU14" s="122">
        <f t="shared" si="4"/>
        <v>11.72912822829421</v>
      </c>
      <c r="AV14" s="131">
        <f t="shared" si="5"/>
        <v>102.26264066945843</v>
      </c>
      <c r="AW14" s="132">
        <f t="shared" si="6"/>
        <v>66.805061939498003</v>
      </c>
      <c r="AX14" s="132">
        <f t="shared" si="7"/>
        <v>8.8916250068638014</v>
      </c>
      <c r="AY14" s="132">
        <f t="shared" si="8"/>
        <v>5.0015003365581121</v>
      </c>
      <c r="AZ14" s="133">
        <f t="shared" si="9"/>
        <v>114.60798992983609</v>
      </c>
      <c r="BA14" s="133">
        <f t="shared" si="10"/>
        <v>11.079215470390119</v>
      </c>
      <c r="BB14" s="133">
        <f t="shared" si="11"/>
        <v>4.2802278923517694</v>
      </c>
      <c r="BC14" s="133">
        <f t="shared" si="12"/>
        <v>-18.269142777550307</v>
      </c>
      <c r="BD14" s="134">
        <f t="shared" si="13"/>
        <v>1.7297871895705832</v>
      </c>
      <c r="BF14" s="139">
        <f t="shared" si="14"/>
        <v>12.358525921299188</v>
      </c>
      <c r="BG14" s="140">
        <f t="shared" si="15"/>
        <v>0.82244799225931309</v>
      </c>
      <c r="BH14" s="140">
        <f t="shared" si="16"/>
        <v>0.46262341325811002</v>
      </c>
      <c r="BI14" s="140">
        <f t="shared" si="17"/>
        <v>10.600886917960089</v>
      </c>
      <c r="BJ14" s="140">
        <f t="shared" si="18"/>
        <v>1.024793388429752</v>
      </c>
      <c r="BK14" s="140">
        <f t="shared" si="19"/>
        <v>0.39590792838874678</v>
      </c>
      <c r="BL14" s="140">
        <f t="shared" si="20"/>
        <v>-3.3782894736842097</v>
      </c>
      <c r="BM14" s="140">
        <f t="shared" si="21"/>
        <v>0.31936127744510923</v>
      </c>
      <c r="BN14" s="140">
        <f t="shared" si="22"/>
        <v>13.643597326816611</v>
      </c>
      <c r="BO14" s="140">
        <f t="shared" si="23"/>
        <v>8.9626600385394877</v>
      </c>
      <c r="BP14" s="140">
        <f t="shared" si="24"/>
        <v>22.6062573653561</v>
      </c>
      <c r="BQ14" s="140">
        <f t="shared" si="25"/>
        <v>-20.706378825230136</v>
      </c>
      <c r="BR14" s="140">
        <f t="shared" si="26"/>
        <v>30</v>
      </c>
      <c r="BS14" s="141" t="str">
        <f t="shared" si="27"/>
        <v>○</v>
      </c>
    </row>
    <row r="15" spans="1:71" s="72" customFormat="1" ht="15" customHeight="1" x14ac:dyDescent="0.3">
      <c r="A15" s="117">
        <v>5</v>
      </c>
      <c r="B15" s="118">
        <v>42216</v>
      </c>
      <c r="C15" s="119">
        <v>0.41666666666666669</v>
      </c>
      <c r="D15" s="118">
        <v>42217</v>
      </c>
      <c r="E15" s="119">
        <v>0.39583333333333331</v>
      </c>
      <c r="F15" s="120">
        <v>30.237500000000001</v>
      </c>
      <c r="G15" s="121">
        <v>2.0009999999999764</v>
      </c>
      <c r="H15" s="122">
        <f t="shared" si="0"/>
        <v>1.9334449070447852</v>
      </c>
      <c r="I15" s="123">
        <v>3.3500000000000002E-2</v>
      </c>
      <c r="J15" s="120">
        <v>-3.0799999999999998E-3</v>
      </c>
      <c r="K15" s="120">
        <v>-1.9E-3</v>
      </c>
      <c r="L15" s="120">
        <v>-7.3999999999999995E-3</v>
      </c>
      <c r="M15" s="120">
        <v>-2.3E-2</v>
      </c>
      <c r="N15" s="120">
        <v>-2.7300000000000001E-2</v>
      </c>
      <c r="O15" s="120">
        <v>2.0400000000000001E-2</v>
      </c>
      <c r="P15" s="120">
        <v>1.2160000000000001E-2</v>
      </c>
      <c r="Q15" s="120">
        <v>-7.1999999999999998E-3</v>
      </c>
      <c r="R15" s="120">
        <v>-9.2600000000000009E-3</v>
      </c>
      <c r="S15" s="120">
        <v>5.8999999999999999E-3</v>
      </c>
      <c r="T15" s="120">
        <v>5.3200000000000001E-3</v>
      </c>
      <c r="U15" s="120">
        <v>4.8800000000000003E-2</v>
      </c>
      <c r="V15" s="120">
        <v>4.1079999999999992E-2</v>
      </c>
      <c r="W15" s="120">
        <v>7.0599999999999996E-2</v>
      </c>
      <c r="X15" s="120">
        <v>7.5900000000000009E-2</v>
      </c>
      <c r="Y15" s="120">
        <v>0.1759</v>
      </c>
      <c r="Z15" s="120">
        <v>-4.5599999999999998E-3</v>
      </c>
      <c r="AA15" s="120">
        <v>0.32240000000000002</v>
      </c>
      <c r="AB15" s="120">
        <v>0.28422000000000003</v>
      </c>
      <c r="AC15" s="120">
        <v>0.39529999999999998</v>
      </c>
      <c r="AD15" s="120">
        <v>0.37034</v>
      </c>
      <c r="AE15" s="120">
        <v>2.4799999999999999E-2</v>
      </c>
      <c r="AF15" s="120">
        <v>1.7859999999999997E-2</v>
      </c>
      <c r="AG15" s="120">
        <v>1.5423</v>
      </c>
      <c r="AH15" s="120">
        <v>8.7999999999999988E-3</v>
      </c>
      <c r="AI15" s="120">
        <v>-7.3000000000000001E-3</v>
      </c>
      <c r="AJ15" s="120">
        <v>-1.83E-2</v>
      </c>
      <c r="AK15" s="120">
        <v>0.51</v>
      </c>
      <c r="AL15" s="124">
        <v>1.6300000000000002E-2</v>
      </c>
      <c r="AM15" s="78"/>
      <c r="AN15" s="126">
        <f t="shared" si="1"/>
        <v>5</v>
      </c>
      <c r="AO15" s="127">
        <f t="shared" si="1"/>
        <v>42216</v>
      </c>
      <c r="AP15" s="128">
        <f t="shared" si="1"/>
        <v>0.41666666666666669</v>
      </c>
      <c r="AQ15" s="127">
        <f t="shared" si="1"/>
        <v>42217</v>
      </c>
      <c r="AR15" s="128">
        <f t="shared" si="1"/>
        <v>0.39583333333333331</v>
      </c>
      <c r="AS15" s="129">
        <f t="shared" si="2"/>
        <v>184.56795237353711</v>
      </c>
      <c r="AT15" s="130">
        <f t="shared" si="3"/>
        <v>6.3690166889743072</v>
      </c>
      <c r="AU15" s="130">
        <f t="shared" si="4"/>
        <v>10.493047472999875</v>
      </c>
      <c r="AV15" s="131">
        <f t="shared" si="5"/>
        <v>287.06960172547957</v>
      </c>
      <c r="AW15" s="132">
        <f t="shared" si="6"/>
        <v>3.9391209233727671</v>
      </c>
      <c r="AX15" s="132">
        <f t="shared" si="7"/>
        <v>0.91748537950127529</v>
      </c>
      <c r="AY15" s="132">
        <f t="shared" si="8"/>
        <v>1.2547303707980955</v>
      </c>
      <c r="AZ15" s="133">
        <f t="shared" si="9"/>
        <v>4.7248592166386061</v>
      </c>
      <c r="BA15" s="133">
        <f t="shared" si="10"/>
        <v>0.92688625780948775</v>
      </c>
      <c r="BB15" s="133">
        <f t="shared" si="11"/>
        <v>0.153443830095638</v>
      </c>
      <c r="BC15" s="133">
        <f t="shared" si="12"/>
        <v>3.284963403880099</v>
      </c>
      <c r="BD15" s="134">
        <f t="shared" si="13"/>
        <v>-1.3706105564965154</v>
      </c>
      <c r="BF15" s="139">
        <f t="shared" si="14"/>
        <v>0.76160732875286274</v>
      </c>
      <c r="BG15" s="140">
        <f t="shared" si="15"/>
        <v>8.8695371714239635E-2</v>
      </c>
      <c r="BH15" s="140">
        <f t="shared" si="16"/>
        <v>0.12129760225669961</v>
      </c>
      <c r="BI15" s="140">
        <f t="shared" si="17"/>
        <v>0.45676274944567635</v>
      </c>
      <c r="BJ15" s="140">
        <f t="shared" si="18"/>
        <v>8.9604175728577692E-2</v>
      </c>
      <c r="BK15" s="140">
        <f t="shared" si="19"/>
        <v>1.4833759590792833E-2</v>
      </c>
      <c r="BL15" s="140">
        <f t="shared" si="20"/>
        <v>0.63486842105263253</v>
      </c>
      <c r="BM15" s="140">
        <f t="shared" si="21"/>
        <v>-0.2644710578842322</v>
      </c>
      <c r="BN15" s="140">
        <f t="shared" si="22"/>
        <v>0.97160030272380205</v>
      </c>
      <c r="BO15" s="140">
        <f t="shared" si="23"/>
        <v>0.93159804793344714</v>
      </c>
      <c r="BP15" s="140">
        <f t="shared" si="24"/>
        <v>1.9031983506572492</v>
      </c>
      <c r="BQ15" s="140">
        <f t="shared" si="25"/>
        <v>-2.1018437083313231</v>
      </c>
      <c r="BR15" s="140">
        <f t="shared" si="26"/>
        <v>30</v>
      </c>
      <c r="BS15" s="141" t="str">
        <f t="shared" si="27"/>
        <v>○</v>
      </c>
    </row>
    <row r="16" spans="1:71" s="72" customFormat="1" ht="15" customHeight="1" x14ac:dyDescent="0.3">
      <c r="A16" s="117">
        <v>6</v>
      </c>
      <c r="B16" s="118">
        <v>42217</v>
      </c>
      <c r="C16" s="119">
        <v>0.41666666666666669</v>
      </c>
      <c r="D16" s="118">
        <v>42218</v>
      </c>
      <c r="E16" s="119">
        <v>0.39583333333333331</v>
      </c>
      <c r="F16" s="120">
        <v>29.395833333333332</v>
      </c>
      <c r="G16" s="121">
        <v>1.9250000000000114</v>
      </c>
      <c r="H16" s="122">
        <f t="shared" si="0"/>
        <v>1.8651877368239862</v>
      </c>
      <c r="I16" s="123">
        <v>0.82620000000000005</v>
      </c>
      <c r="J16" s="120">
        <v>-3.0799999999999998E-3</v>
      </c>
      <c r="K16" s="120">
        <v>2.12E-2</v>
      </c>
      <c r="L16" s="120">
        <v>-7.3999999999999995E-3</v>
      </c>
      <c r="M16" s="120">
        <v>-2.4E-2</v>
      </c>
      <c r="N16" s="120">
        <v>-2.7300000000000001E-2</v>
      </c>
      <c r="O16" s="120">
        <v>0.28129999999999999</v>
      </c>
      <c r="P16" s="120">
        <v>1.2160000000000001E-2</v>
      </c>
      <c r="Q16" s="120">
        <v>-7.1999999999999998E-3</v>
      </c>
      <c r="R16" s="120">
        <v>-9.2600000000000009E-3</v>
      </c>
      <c r="S16" s="120">
        <v>2.3900000000000001E-2</v>
      </c>
      <c r="T16" s="120">
        <v>5.3200000000000001E-3</v>
      </c>
      <c r="U16" s="120">
        <v>4.9200000000000001E-2</v>
      </c>
      <c r="V16" s="120">
        <v>4.1079999999999992E-2</v>
      </c>
      <c r="W16" s="120">
        <v>7.8200000000000006E-2</v>
      </c>
      <c r="X16" s="120">
        <v>7.5900000000000009E-2</v>
      </c>
      <c r="Y16" s="120">
        <v>2.6800000000000001E-2</v>
      </c>
      <c r="Z16" s="120">
        <v>-4.5599999999999998E-3</v>
      </c>
      <c r="AA16" s="120">
        <v>0.39450000000000002</v>
      </c>
      <c r="AB16" s="120">
        <v>0.28422000000000003</v>
      </c>
      <c r="AC16" s="120">
        <v>0.4032</v>
      </c>
      <c r="AD16" s="120">
        <v>0.37034</v>
      </c>
      <c r="AE16" s="120">
        <v>3.3700000000000001E-2</v>
      </c>
      <c r="AF16" s="120">
        <v>1.7859999999999997E-2</v>
      </c>
      <c r="AG16" s="120">
        <v>0.16239999999999999</v>
      </c>
      <c r="AH16" s="120">
        <v>8.7999999999999988E-3</v>
      </c>
      <c r="AI16" s="120">
        <v>-2.5999999999999999E-3</v>
      </c>
      <c r="AJ16" s="120">
        <v>-1.83E-2</v>
      </c>
      <c r="AK16" s="120">
        <v>0.1583</v>
      </c>
      <c r="AL16" s="124">
        <v>1.6300000000000002E-2</v>
      </c>
      <c r="AM16" s="78"/>
      <c r="AN16" s="126">
        <f t="shared" si="1"/>
        <v>6</v>
      </c>
      <c r="AO16" s="127">
        <f t="shared" si="1"/>
        <v>42217</v>
      </c>
      <c r="AP16" s="128">
        <f t="shared" si="1"/>
        <v>0.41666666666666669</v>
      </c>
      <c r="AQ16" s="127">
        <f t="shared" si="1"/>
        <v>42218</v>
      </c>
      <c r="AR16" s="128">
        <f t="shared" si="1"/>
        <v>0.39583333333333331</v>
      </c>
      <c r="AS16" s="129">
        <f t="shared" si="2"/>
        <v>20.646321162423391</v>
      </c>
      <c r="AT16" s="132">
        <f t="shared" si="3"/>
        <v>19.069638942135445</v>
      </c>
      <c r="AU16" s="130">
        <f t="shared" si="4"/>
        <v>14.688244149534059</v>
      </c>
      <c r="AV16" s="131">
        <f t="shared" si="5"/>
        <v>93.818391613204255</v>
      </c>
      <c r="AW16" s="132">
        <f t="shared" si="6"/>
        <v>92.569102582041893</v>
      </c>
      <c r="AX16" s="132">
        <f t="shared" si="7"/>
        <v>4.9455175348664655</v>
      </c>
      <c r="AY16" s="132">
        <f t="shared" si="8"/>
        <v>0.99817145167756194</v>
      </c>
      <c r="AZ16" s="133">
        <f t="shared" si="9"/>
        <v>159.97390977431445</v>
      </c>
      <c r="BA16" s="133">
        <f t="shared" si="10"/>
        <v>0.96080597099736831</v>
      </c>
      <c r="BB16" s="133">
        <f t="shared" si="11"/>
        <v>5.0953778697465273</v>
      </c>
      <c r="BC16" s="133">
        <f t="shared" si="12"/>
        <v>3.5816118201911316</v>
      </c>
      <c r="BD16" s="134">
        <f t="shared" si="13"/>
        <v>0.61655991903431717</v>
      </c>
      <c r="BF16" s="139">
        <f t="shared" si="14"/>
        <v>17.265875494482614</v>
      </c>
      <c r="BG16" s="140">
        <f t="shared" si="15"/>
        <v>0.46121593291404617</v>
      </c>
      <c r="BH16" s="140">
        <f t="shared" si="16"/>
        <v>9.3088857545839232E-2</v>
      </c>
      <c r="BI16" s="140">
        <f t="shared" si="17"/>
        <v>14.919068736141906</v>
      </c>
      <c r="BJ16" s="140">
        <f t="shared" si="18"/>
        <v>8.9604175728577692E-2</v>
      </c>
      <c r="BK16" s="140">
        <f t="shared" si="19"/>
        <v>0.47519181585677744</v>
      </c>
      <c r="BL16" s="140">
        <f t="shared" si="20"/>
        <v>0.66776315789473761</v>
      </c>
      <c r="BM16" s="140">
        <f t="shared" si="21"/>
        <v>0.11477045908183615</v>
      </c>
      <c r="BN16" s="140">
        <f t="shared" si="22"/>
        <v>17.820180284942502</v>
      </c>
      <c r="BO16" s="140">
        <f t="shared" si="23"/>
        <v>16.266398344703834</v>
      </c>
      <c r="BP16" s="140">
        <f t="shared" si="24"/>
        <v>34.08657862964634</v>
      </c>
      <c r="BQ16" s="140">
        <f t="shared" si="25"/>
        <v>-4.5583393895898006</v>
      </c>
      <c r="BR16" s="140">
        <f t="shared" si="26"/>
        <v>30</v>
      </c>
      <c r="BS16" s="141" t="str">
        <f t="shared" si="27"/>
        <v>○</v>
      </c>
    </row>
    <row r="17" spans="1:72" s="77" customFormat="1" ht="15" customHeight="1" x14ac:dyDescent="0.3">
      <c r="A17" s="142">
        <v>7</v>
      </c>
      <c r="B17" s="143">
        <v>42218</v>
      </c>
      <c r="C17" s="144">
        <v>0.41666666666666669</v>
      </c>
      <c r="D17" s="143">
        <v>42219</v>
      </c>
      <c r="E17" s="144">
        <v>0.39583333333333331</v>
      </c>
      <c r="F17" s="146">
        <v>29.858333333333324</v>
      </c>
      <c r="G17" s="147">
        <v>1.9170000000000016</v>
      </c>
      <c r="H17" s="148">
        <f t="shared" si="0"/>
        <v>1.8545997853782037</v>
      </c>
      <c r="I17" s="149">
        <v>0.94099999999999995</v>
      </c>
      <c r="J17" s="146">
        <v>-3.0799999999999998E-3</v>
      </c>
      <c r="K17" s="146">
        <v>4.3299999999999998E-2</v>
      </c>
      <c r="L17" s="146">
        <v>-7.3999999999999995E-3</v>
      </c>
      <c r="M17" s="146">
        <v>-2.52E-2</v>
      </c>
      <c r="N17" s="146">
        <v>-2.7300000000000001E-2</v>
      </c>
      <c r="O17" s="146">
        <v>0.31409999999999999</v>
      </c>
      <c r="P17" s="146">
        <v>1.2160000000000001E-2</v>
      </c>
      <c r="Q17" s="146">
        <v>-2.8E-3</v>
      </c>
      <c r="R17" s="146">
        <v>-9.2600000000000009E-3</v>
      </c>
      <c r="S17" s="146">
        <v>1.46E-2</v>
      </c>
      <c r="T17" s="146">
        <v>5.3200000000000001E-3</v>
      </c>
      <c r="U17" s="146">
        <v>5.74E-2</v>
      </c>
      <c r="V17" s="146">
        <v>4.1079999999999992E-2</v>
      </c>
      <c r="W17" s="146">
        <v>8.5599999999999996E-2</v>
      </c>
      <c r="X17" s="146">
        <v>7.5900000000000009E-2</v>
      </c>
      <c r="Y17" s="146">
        <v>7.22E-2</v>
      </c>
      <c r="Z17" s="146">
        <v>-4.5599999999999998E-3</v>
      </c>
      <c r="AA17" s="146">
        <v>0.39960000000000001</v>
      </c>
      <c r="AB17" s="146">
        <v>0.28422000000000003</v>
      </c>
      <c r="AC17" s="146">
        <v>0.4088</v>
      </c>
      <c r="AD17" s="146">
        <v>0.37034</v>
      </c>
      <c r="AE17" s="146">
        <v>3.1800000000000002E-2</v>
      </c>
      <c r="AF17" s="146">
        <v>1.7859999999999997E-2</v>
      </c>
      <c r="AG17" s="146">
        <v>0.26800000000000002</v>
      </c>
      <c r="AH17" s="146">
        <v>8.7999999999999988E-3</v>
      </c>
      <c r="AI17" s="146">
        <v>2.8E-3</v>
      </c>
      <c r="AJ17" s="146">
        <v>-1.83E-2</v>
      </c>
      <c r="AK17" s="146">
        <v>0.1522</v>
      </c>
      <c r="AL17" s="150">
        <v>1.6300000000000002E-2</v>
      </c>
      <c r="AN17" s="151">
        <f t="shared" si="1"/>
        <v>7</v>
      </c>
      <c r="AO17" s="152">
        <f t="shared" si="1"/>
        <v>42218</v>
      </c>
      <c r="AP17" s="153">
        <f t="shared" si="1"/>
        <v>0.41666666666666669</v>
      </c>
      <c r="AQ17" s="152">
        <f t="shared" si="1"/>
        <v>42219</v>
      </c>
      <c r="AR17" s="153">
        <f t="shared" si="1"/>
        <v>0.39583333333333331</v>
      </c>
      <c r="AS17" s="154">
        <f t="shared" si="2"/>
        <v>37.715926503330934</v>
      </c>
      <c r="AT17" s="155">
        <f t="shared" si="3"/>
        <v>20.065435668893908</v>
      </c>
      <c r="AU17" s="155">
        <f t="shared" si="4"/>
        <v>18.118333111272545</v>
      </c>
      <c r="AV17" s="156">
        <f t="shared" si="5"/>
        <v>89.571742234800055</v>
      </c>
      <c r="AW17" s="157">
        <f t="shared" si="6"/>
        <v>105.98539080028772</v>
      </c>
      <c r="AX17" s="157">
        <f t="shared" si="7"/>
        <v>8.8171051171166681</v>
      </c>
      <c r="AY17" s="157">
        <f t="shared" si="8"/>
        <v>0.63882638572317607</v>
      </c>
      <c r="AZ17" s="158">
        <f t="shared" si="9"/>
        <v>180.49447310715115</v>
      </c>
      <c r="BA17" s="158">
        <f t="shared" si="10"/>
        <v>3.0302142570332307</v>
      </c>
      <c r="BB17" s="158">
        <f t="shared" si="11"/>
        <v>2.5594756919944888</v>
      </c>
      <c r="BC17" s="158">
        <f t="shared" si="12"/>
        <v>7.239606912730979</v>
      </c>
      <c r="BD17" s="159">
        <f t="shared" si="13"/>
        <v>2.6151194657940424</v>
      </c>
      <c r="BF17" s="139">
        <f t="shared" si="14"/>
        <v>19.656048303143866</v>
      </c>
      <c r="BG17" s="140">
        <f t="shared" si="15"/>
        <v>0.81761006289308169</v>
      </c>
      <c r="BH17" s="140">
        <f t="shared" si="16"/>
        <v>5.9238363892806803E-2</v>
      </c>
      <c r="BI17" s="140">
        <f t="shared" si="17"/>
        <v>16.737250554323726</v>
      </c>
      <c r="BJ17" s="140">
        <f t="shared" si="18"/>
        <v>0.28099173553719009</v>
      </c>
      <c r="BK17" s="140">
        <f t="shared" si="19"/>
        <v>0.23734015345268542</v>
      </c>
      <c r="BL17" s="140">
        <f t="shared" si="20"/>
        <v>1.3421052631578954</v>
      </c>
      <c r="BM17" s="140">
        <f t="shared" si="21"/>
        <v>0.48403193612774387</v>
      </c>
      <c r="BN17" s="140">
        <f t="shared" si="22"/>
        <v>20.532896729929753</v>
      </c>
      <c r="BO17" s="140">
        <f t="shared" si="23"/>
        <v>19.081719642599236</v>
      </c>
      <c r="BP17" s="140">
        <f t="shared" si="24"/>
        <v>39.614616372528985</v>
      </c>
      <c r="BQ17" s="140">
        <f t="shared" si="25"/>
        <v>-3.6632365026178713</v>
      </c>
      <c r="BR17" s="140">
        <f t="shared" si="26"/>
        <v>30</v>
      </c>
      <c r="BS17" s="141" t="str">
        <f t="shared" si="27"/>
        <v>○</v>
      </c>
    </row>
    <row r="18" spans="1:72" s="72" customFormat="1" ht="15" customHeight="1" x14ac:dyDescent="0.3">
      <c r="A18" s="117"/>
      <c r="B18" s="118"/>
      <c r="C18" s="119"/>
      <c r="D18" s="118"/>
      <c r="E18" s="119"/>
      <c r="F18" s="120"/>
      <c r="G18" s="121"/>
      <c r="H18" s="122"/>
      <c r="I18" s="12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4"/>
      <c r="AM18" s="78"/>
      <c r="AN18" s="126">
        <f t="shared" si="1"/>
        <v>0</v>
      </c>
      <c r="AO18" s="127">
        <f t="shared" si="1"/>
        <v>0</v>
      </c>
      <c r="AP18" s="128">
        <f t="shared" si="1"/>
        <v>0</v>
      </c>
      <c r="AQ18" s="127">
        <f t="shared" si="1"/>
        <v>0</v>
      </c>
      <c r="AR18" s="128">
        <f t="shared" si="1"/>
        <v>0</v>
      </c>
      <c r="AS18" s="160" t="e">
        <f t="shared" si="2"/>
        <v>#DIV/0!</v>
      </c>
      <c r="AT18" s="122" t="e">
        <f t="shared" si="3"/>
        <v>#DIV/0!</v>
      </c>
      <c r="AU18" s="122" t="e">
        <f>1000/35.45*(AC18-AD18+AI18-AJ18)*20/H18</f>
        <v>#DIV/0!</v>
      </c>
      <c r="AV18" s="122" t="e">
        <f t="shared" si="5"/>
        <v>#DIV/0!</v>
      </c>
      <c r="AW18" s="122" t="e">
        <f t="shared" ref="AW18:AW24" si="28">1000/96.06*(I18-J18)*40/H18</f>
        <v>#DIV/0!</v>
      </c>
      <c r="AX18" s="122" t="e">
        <f t="shared" ref="AX18:AX24" si="29">1000/62.01*(K18-L18)*40/H18</f>
        <v>#DIV/0!</v>
      </c>
      <c r="AY18" s="122" t="e">
        <f t="shared" ref="AY18:AY24" si="30">1000/35.45*(M18-N18)*40/H18</f>
        <v>#DIV/0!</v>
      </c>
      <c r="AZ18" s="161" t="e">
        <f t="shared" ref="AZ18:AZ24" si="31">1000/18.04*(O18-P18)*40/H18</f>
        <v>#DIV/0!</v>
      </c>
      <c r="BA18" s="161" t="e">
        <f t="shared" ref="BA18:BA24" si="32">1000/22.99*(Q18-R18)*40/H18</f>
        <v>#DIV/0!</v>
      </c>
      <c r="BB18" s="161" t="e">
        <f t="shared" ref="BB18:BB24" si="33">1000/39.1*(S18-T18)*40/H18</f>
        <v>#DIV/0!</v>
      </c>
      <c r="BC18" s="161" t="e">
        <f t="shared" ref="BC18:BC24" si="34">1000/24.31*(U18-V18)*40/H18</f>
        <v>#DIV/0!</v>
      </c>
      <c r="BD18" s="162" t="e">
        <f t="shared" ref="BD18:BD24" si="35">1000/40*(W18-X18)*40/H18</f>
        <v>#DIV/0!</v>
      </c>
      <c r="BF18" s="163">
        <f t="shared" si="14"/>
        <v>0</v>
      </c>
      <c r="BG18" s="164">
        <f t="shared" si="15"/>
        <v>0</v>
      </c>
      <c r="BH18" s="164">
        <f t="shared" si="16"/>
        <v>0</v>
      </c>
      <c r="BI18" s="164">
        <f t="shared" si="17"/>
        <v>0</v>
      </c>
      <c r="BJ18" s="164">
        <f t="shared" si="18"/>
        <v>0</v>
      </c>
      <c r="BK18" s="164">
        <f t="shared" si="19"/>
        <v>0</v>
      </c>
      <c r="BL18" s="164">
        <f t="shared" si="20"/>
        <v>0</v>
      </c>
      <c r="BM18" s="164">
        <f t="shared" si="21"/>
        <v>0</v>
      </c>
      <c r="BN18" s="164">
        <f t="shared" si="22"/>
        <v>0</v>
      </c>
      <c r="BO18" s="164">
        <f t="shared" si="23"/>
        <v>0</v>
      </c>
      <c r="BP18" s="164">
        <f t="shared" si="24"/>
        <v>0</v>
      </c>
      <c r="BQ18" s="164" t="e">
        <f t="shared" si="25"/>
        <v>#DIV/0!</v>
      </c>
      <c r="BR18" s="164">
        <f t="shared" si="26"/>
        <v>30</v>
      </c>
      <c r="BS18" s="165" t="e">
        <f t="shared" si="27"/>
        <v>#DIV/0!</v>
      </c>
    </row>
    <row r="19" spans="1:72" s="72" customFormat="1" ht="15" customHeight="1" x14ac:dyDescent="0.3">
      <c r="A19" s="117"/>
      <c r="B19" s="118"/>
      <c r="C19" s="119"/>
      <c r="D19" s="118"/>
      <c r="E19" s="119"/>
      <c r="F19" s="120"/>
      <c r="G19" s="121"/>
      <c r="H19" s="122"/>
      <c r="I19" s="12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4"/>
      <c r="AM19" s="78"/>
      <c r="AN19" s="126">
        <f t="shared" si="1"/>
        <v>0</v>
      </c>
      <c r="AO19" s="127">
        <f t="shared" si="1"/>
        <v>0</v>
      </c>
      <c r="AP19" s="128">
        <f t="shared" si="1"/>
        <v>0</v>
      </c>
      <c r="AQ19" s="127">
        <f t="shared" si="1"/>
        <v>0</v>
      </c>
      <c r="AR19" s="128">
        <f t="shared" si="1"/>
        <v>0</v>
      </c>
      <c r="AS19" s="160" t="e">
        <f t="shared" si="2"/>
        <v>#DIV/0!</v>
      </c>
      <c r="AT19" s="122" t="e">
        <f t="shared" si="3"/>
        <v>#DIV/0!</v>
      </c>
      <c r="AU19" s="122" t="e">
        <f t="shared" ref="AU19:AU38" si="36">1000/35.45*(AC19-AD19+AI19-AJ19)*20/H19</f>
        <v>#DIV/0!</v>
      </c>
      <c r="AV19" s="122" t="e">
        <f t="shared" si="5"/>
        <v>#DIV/0!</v>
      </c>
      <c r="AW19" s="122" t="e">
        <f t="shared" si="28"/>
        <v>#DIV/0!</v>
      </c>
      <c r="AX19" s="122" t="e">
        <f t="shared" si="29"/>
        <v>#DIV/0!</v>
      </c>
      <c r="AY19" s="122" t="e">
        <f t="shared" si="30"/>
        <v>#DIV/0!</v>
      </c>
      <c r="AZ19" s="161" t="e">
        <f t="shared" si="31"/>
        <v>#DIV/0!</v>
      </c>
      <c r="BA19" s="161" t="e">
        <f t="shared" si="32"/>
        <v>#DIV/0!</v>
      </c>
      <c r="BB19" s="161" t="e">
        <f t="shared" si="33"/>
        <v>#DIV/0!</v>
      </c>
      <c r="BC19" s="161" t="e">
        <f t="shared" si="34"/>
        <v>#DIV/0!</v>
      </c>
      <c r="BD19" s="162" t="e">
        <f t="shared" si="35"/>
        <v>#DIV/0!</v>
      </c>
      <c r="BF19" s="139">
        <f t="shared" si="14"/>
        <v>0</v>
      </c>
      <c r="BG19" s="140">
        <f t="shared" si="15"/>
        <v>0</v>
      </c>
      <c r="BH19" s="140">
        <f t="shared" si="16"/>
        <v>0</v>
      </c>
      <c r="BI19" s="140">
        <f t="shared" si="17"/>
        <v>0</v>
      </c>
      <c r="BJ19" s="140">
        <f t="shared" si="18"/>
        <v>0</v>
      </c>
      <c r="BK19" s="140">
        <f t="shared" si="19"/>
        <v>0</v>
      </c>
      <c r="BL19" s="140">
        <f t="shared" si="20"/>
        <v>0</v>
      </c>
      <c r="BM19" s="140">
        <f t="shared" si="21"/>
        <v>0</v>
      </c>
      <c r="BN19" s="140">
        <f t="shared" si="22"/>
        <v>0</v>
      </c>
      <c r="BO19" s="140">
        <f t="shared" si="23"/>
        <v>0</v>
      </c>
      <c r="BP19" s="140">
        <f t="shared" si="24"/>
        <v>0</v>
      </c>
      <c r="BQ19" s="140" t="e">
        <f t="shared" si="25"/>
        <v>#DIV/0!</v>
      </c>
      <c r="BR19" s="140">
        <f t="shared" si="26"/>
        <v>30</v>
      </c>
      <c r="BS19" s="141" t="e">
        <f t="shared" si="27"/>
        <v>#DIV/0!</v>
      </c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>
        <f t="shared" si="1"/>
        <v>0</v>
      </c>
      <c r="AO20" s="127">
        <f t="shared" si="1"/>
        <v>0</v>
      </c>
      <c r="AP20" s="128">
        <f t="shared" si="1"/>
        <v>0</v>
      </c>
      <c r="AQ20" s="127">
        <f t="shared" si="1"/>
        <v>0</v>
      </c>
      <c r="AR20" s="128">
        <f t="shared" si="1"/>
        <v>0</v>
      </c>
      <c r="AS20" s="160" t="e">
        <f t="shared" si="2"/>
        <v>#DIV/0!</v>
      </c>
      <c r="AT20" s="122" t="e">
        <f t="shared" si="3"/>
        <v>#DIV/0!</v>
      </c>
      <c r="AU20" s="122" t="e">
        <f t="shared" si="36"/>
        <v>#DIV/0!</v>
      </c>
      <c r="AV20" s="122" t="e">
        <f t="shared" si="5"/>
        <v>#DIV/0!</v>
      </c>
      <c r="AW20" s="122" t="e">
        <f t="shared" si="28"/>
        <v>#DIV/0!</v>
      </c>
      <c r="AX20" s="122" t="e">
        <f t="shared" si="29"/>
        <v>#DIV/0!</v>
      </c>
      <c r="AY20" s="122" t="e">
        <f t="shared" si="30"/>
        <v>#DIV/0!</v>
      </c>
      <c r="AZ20" s="161" t="e">
        <f t="shared" si="31"/>
        <v>#DIV/0!</v>
      </c>
      <c r="BA20" s="161" t="e">
        <f t="shared" si="32"/>
        <v>#DIV/0!</v>
      </c>
      <c r="BB20" s="161" t="e">
        <f t="shared" si="33"/>
        <v>#DIV/0!</v>
      </c>
      <c r="BC20" s="161" t="e">
        <f t="shared" si="34"/>
        <v>#DIV/0!</v>
      </c>
      <c r="BD20" s="162" t="e">
        <f t="shared" si="35"/>
        <v>#DIV/0!</v>
      </c>
      <c r="BF20" s="139">
        <f t="shared" si="14"/>
        <v>0</v>
      </c>
      <c r="BG20" s="140">
        <f t="shared" si="15"/>
        <v>0</v>
      </c>
      <c r="BH20" s="140">
        <f t="shared" si="16"/>
        <v>0</v>
      </c>
      <c r="BI20" s="140">
        <f t="shared" si="17"/>
        <v>0</v>
      </c>
      <c r="BJ20" s="140">
        <f t="shared" si="18"/>
        <v>0</v>
      </c>
      <c r="BK20" s="140">
        <f t="shared" si="19"/>
        <v>0</v>
      </c>
      <c r="BL20" s="140">
        <f t="shared" si="20"/>
        <v>0</v>
      </c>
      <c r="BM20" s="140">
        <f t="shared" si="21"/>
        <v>0</v>
      </c>
      <c r="BN20" s="140">
        <f t="shared" si="22"/>
        <v>0</v>
      </c>
      <c r="BO20" s="140">
        <f t="shared" si="23"/>
        <v>0</v>
      </c>
      <c r="BP20" s="140">
        <f t="shared" si="24"/>
        <v>0</v>
      </c>
      <c r="BQ20" s="140" t="e">
        <f t="shared" si="25"/>
        <v>#DIV/0!</v>
      </c>
      <c r="BR20" s="140">
        <f t="shared" si="26"/>
        <v>30</v>
      </c>
      <c r="BS20" s="141" t="e">
        <f t="shared" si="27"/>
        <v>#DIV/0!</v>
      </c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>
        <f t="shared" si="1"/>
        <v>0</v>
      </c>
      <c r="AO21" s="127">
        <f t="shared" si="1"/>
        <v>0</v>
      </c>
      <c r="AP21" s="128">
        <f t="shared" si="1"/>
        <v>0</v>
      </c>
      <c r="AQ21" s="127">
        <f t="shared" si="1"/>
        <v>0</v>
      </c>
      <c r="AR21" s="128">
        <f t="shared" si="1"/>
        <v>0</v>
      </c>
      <c r="AS21" s="160" t="e">
        <f t="shared" si="2"/>
        <v>#DIV/0!</v>
      </c>
      <c r="AT21" s="122" t="e">
        <f t="shared" si="3"/>
        <v>#DIV/0!</v>
      </c>
      <c r="AU21" s="122" t="e">
        <f t="shared" si="36"/>
        <v>#DIV/0!</v>
      </c>
      <c r="AV21" s="122" t="e">
        <f t="shared" si="5"/>
        <v>#DIV/0!</v>
      </c>
      <c r="AW21" s="122" t="e">
        <f t="shared" si="28"/>
        <v>#DIV/0!</v>
      </c>
      <c r="AX21" s="122" t="e">
        <f t="shared" si="29"/>
        <v>#DIV/0!</v>
      </c>
      <c r="AY21" s="122" t="e">
        <f t="shared" si="30"/>
        <v>#DIV/0!</v>
      </c>
      <c r="AZ21" s="161" t="e">
        <f t="shared" si="31"/>
        <v>#DIV/0!</v>
      </c>
      <c r="BA21" s="161" t="e">
        <f t="shared" si="32"/>
        <v>#DIV/0!</v>
      </c>
      <c r="BB21" s="161" t="e">
        <f t="shared" si="33"/>
        <v>#DIV/0!</v>
      </c>
      <c r="BC21" s="161" t="e">
        <f t="shared" si="34"/>
        <v>#DIV/0!</v>
      </c>
      <c r="BD21" s="162" t="e">
        <f t="shared" si="35"/>
        <v>#DIV/0!</v>
      </c>
      <c r="BF21" s="139">
        <f t="shared" si="14"/>
        <v>0</v>
      </c>
      <c r="BG21" s="140">
        <f t="shared" si="15"/>
        <v>0</v>
      </c>
      <c r="BH21" s="140">
        <f t="shared" si="16"/>
        <v>0</v>
      </c>
      <c r="BI21" s="140">
        <f t="shared" si="17"/>
        <v>0</v>
      </c>
      <c r="BJ21" s="140">
        <f t="shared" si="18"/>
        <v>0</v>
      </c>
      <c r="BK21" s="140">
        <f t="shared" si="19"/>
        <v>0</v>
      </c>
      <c r="BL21" s="140">
        <f t="shared" si="20"/>
        <v>0</v>
      </c>
      <c r="BM21" s="140">
        <f t="shared" si="21"/>
        <v>0</v>
      </c>
      <c r="BN21" s="140">
        <f t="shared" si="22"/>
        <v>0</v>
      </c>
      <c r="BO21" s="140">
        <f t="shared" si="23"/>
        <v>0</v>
      </c>
      <c r="BP21" s="140">
        <f t="shared" si="24"/>
        <v>0</v>
      </c>
      <c r="BQ21" s="140" t="e">
        <f t="shared" si="25"/>
        <v>#DIV/0!</v>
      </c>
      <c r="BR21" s="140">
        <f t="shared" si="26"/>
        <v>30</v>
      </c>
      <c r="BS21" s="141" t="e">
        <f t="shared" si="27"/>
        <v>#DIV/0!</v>
      </c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>
        <f t="shared" si="1"/>
        <v>0</v>
      </c>
      <c r="AO22" s="127">
        <f t="shared" si="1"/>
        <v>0</v>
      </c>
      <c r="AP22" s="128">
        <f t="shared" si="1"/>
        <v>0</v>
      </c>
      <c r="AQ22" s="127">
        <f t="shared" si="1"/>
        <v>0</v>
      </c>
      <c r="AR22" s="128">
        <f t="shared" si="1"/>
        <v>0</v>
      </c>
      <c r="AS22" s="160" t="e">
        <f t="shared" si="2"/>
        <v>#DIV/0!</v>
      </c>
      <c r="AT22" s="122" t="e">
        <f t="shared" si="3"/>
        <v>#DIV/0!</v>
      </c>
      <c r="AU22" s="122" t="e">
        <f t="shared" si="36"/>
        <v>#DIV/0!</v>
      </c>
      <c r="AV22" s="122" t="e">
        <f t="shared" si="5"/>
        <v>#DIV/0!</v>
      </c>
      <c r="AW22" s="122" t="e">
        <f t="shared" si="28"/>
        <v>#DIV/0!</v>
      </c>
      <c r="AX22" s="122" t="e">
        <f t="shared" si="29"/>
        <v>#DIV/0!</v>
      </c>
      <c r="AY22" s="122" t="e">
        <f t="shared" si="30"/>
        <v>#DIV/0!</v>
      </c>
      <c r="AZ22" s="161" t="e">
        <f t="shared" si="31"/>
        <v>#DIV/0!</v>
      </c>
      <c r="BA22" s="161" t="e">
        <f t="shared" si="32"/>
        <v>#DIV/0!</v>
      </c>
      <c r="BB22" s="161" t="e">
        <f t="shared" si="33"/>
        <v>#DIV/0!</v>
      </c>
      <c r="BC22" s="161" t="e">
        <f t="shared" si="34"/>
        <v>#DIV/0!</v>
      </c>
      <c r="BD22" s="162" t="e">
        <f t="shared" si="35"/>
        <v>#DIV/0!</v>
      </c>
      <c r="BF22" s="139">
        <f t="shared" si="14"/>
        <v>0</v>
      </c>
      <c r="BG22" s="140">
        <f t="shared" si="15"/>
        <v>0</v>
      </c>
      <c r="BH22" s="140">
        <f t="shared" si="16"/>
        <v>0</v>
      </c>
      <c r="BI22" s="140">
        <f t="shared" si="17"/>
        <v>0</v>
      </c>
      <c r="BJ22" s="140">
        <f t="shared" si="18"/>
        <v>0</v>
      </c>
      <c r="BK22" s="140">
        <f t="shared" si="19"/>
        <v>0</v>
      </c>
      <c r="BL22" s="140">
        <f t="shared" si="20"/>
        <v>0</v>
      </c>
      <c r="BM22" s="140">
        <f t="shared" si="21"/>
        <v>0</v>
      </c>
      <c r="BN22" s="140">
        <f t="shared" si="22"/>
        <v>0</v>
      </c>
      <c r="BO22" s="140">
        <f t="shared" si="23"/>
        <v>0</v>
      </c>
      <c r="BP22" s="140">
        <f t="shared" si="24"/>
        <v>0</v>
      </c>
      <c r="BQ22" s="140" t="e">
        <f t="shared" si="25"/>
        <v>#DIV/0!</v>
      </c>
      <c r="BR22" s="140">
        <f t="shared" si="26"/>
        <v>30</v>
      </c>
      <c r="BS22" s="141" t="e">
        <f t="shared" si="27"/>
        <v>#DIV/0!</v>
      </c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>
        <f t="shared" si="1"/>
        <v>0</v>
      </c>
      <c r="AO23" s="127">
        <f t="shared" si="1"/>
        <v>0</v>
      </c>
      <c r="AP23" s="128">
        <f t="shared" si="1"/>
        <v>0</v>
      </c>
      <c r="AQ23" s="127">
        <f t="shared" si="1"/>
        <v>0</v>
      </c>
      <c r="AR23" s="128">
        <f t="shared" si="1"/>
        <v>0</v>
      </c>
      <c r="AS23" s="160" t="e">
        <f t="shared" si="2"/>
        <v>#DIV/0!</v>
      </c>
      <c r="AT23" s="122" t="e">
        <f t="shared" si="3"/>
        <v>#DIV/0!</v>
      </c>
      <c r="AU23" s="122" t="e">
        <f t="shared" si="36"/>
        <v>#DIV/0!</v>
      </c>
      <c r="AV23" s="122" t="e">
        <f t="shared" si="5"/>
        <v>#DIV/0!</v>
      </c>
      <c r="AW23" s="122" t="e">
        <f t="shared" si="28"/>
        <v>#DIV/0!</v>
      </c>
      <c r="AX23" s="122" t="e">
        <f t="shared" si="29"/>
        <v>#DIV/0!</v>
      </c>
      <c r="AY23" s="122" t="e">
        <f t="shared" si="30"/>
        <v>#DIV/0!</v>
      </c>
      <c r="AZ23" s="161" t="e">
        <f t="shared" si="31"/>
        <v>#DIV/0!</v>
      </c>
      <c r="BA23" s="161" t="e">
        <f t="shared" si="32"/>
        <v>#DIV/0!</v>
      </c>
      <c r="BB23" s="161" t="e">
        <f t="shared" si="33"/>
        <v>#DIV/0!</v>
      </c>
      <c r="BC23" s="161" t="e">
        <f t="shared" si="34"/>
        <v>#DIV/0!</v>
      </c>
      <c r="BD23" s="162" t="e">
        <f t="shared" si="35"/>
        <v>#DIV/0!</v>
      </c>
      <c r="BF23" s="139">
        <f t="shared" si="14"/>
        <v>0</v>
      </c>
      <c r="BG23" s="140">
        <f t="shared" si="15"/>
        <v>0</v>
      </c>
      <c r="BH23" s="140">
        <f t="shared" si="16"/>
        <v>0</v>
      </c>
      <c r="BI23" s="140">
        <f t="shared" si="17"/>
        <v>0</v>
      </c>
      <c r="BJ23" s="140">
        <f t="shared" si="18"/>
        <v>0</v>
      </c>
      <c r="BK23" s="140">
        <f t="shared" si="19"/>
        <v>0</v>
      </c>
      <c r="BL23" s="140">
        <f t="shared" si="20"/>
        <v>0</v>
      </c>
      <c r="BM23" s="140">
        <f t="shared" si="21"/>
        <v>0</v>
      </c>
      <c r="BN23" s="140">
        <f t="shared" si="22"/>
        <v>0</v>
      </c>
      <c r="BO23" s="140">
        <f t="shared" si="23"/>
        <v>0</v>
      </c>
      <c r="BP23" s="140">
        <f t="shared" si="24"/>
        <v>0</v>
      </c>
      <c r="BQ23" s="140" t="e">
        <f t="shared" si="25"/>
        <v>#DIV/0!</v>
      </c>
      <c r="BR23" s="140">
        <f t="shared" si="26"/>
        <v>30</v>
      </c>
      <c r="BS23" s="141" t="e">
        <f t="shared" si="27"/>
        <v>#DIV/0!</v>
      </c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166"/>
      <c r="AN24" s="151">
        <f t="shared" si="1"/>
        <v>0</v>
      </c>
      <c r="AO24" s="152">
        <f t="shared" si="1"/>
        <v>0</v>
      </c>
      <c r="AP24" s="153">
        <f t="shared" si="1"/>
        <v>0</v>
      </c>
      <c r="AQ24" s="152">
        <f t="shared" si="1"/>
        <v>0</v>
      </c>
      <c r="AR24" s="153">
        <f t="shared" si="1"/>
        <v>0</v>
      </c>
      <c r="AS24" s="167" t="e">
        <f t="shared" si="2"/>
        <v>#DIV/0!</v>
      </c>
      <c r="AT24" s="168" t="e">
        <f t="shared" si="3"/>
        <v>#DIV/0!</v>
      </c>
      <c r="AU24" s="168" t="e">
        <f t="shared" si="36"/>
        <v>#DIV/0!</v>
      </c>
      <c r="AV24" s="168" t="e">
        <f t="shared" si="5"/>
        <v>#DIV/0!</v>
      </c>
      <c r="AW24" s="168" t="e">
        <f t="shared" si="28"/>
        <v>#DIV/0!</v>
      </c>
      <c r="AX24" s="168" t="e">
        <f t="shared" si="29"/>
        <v>#DIV/0!</v>
      </c>
      <c r="AY24" s="168" t="e">
        <f t="shared" si="30"/>
        <v>#DIV/0!</v>
      </c>
      <c r="AZ24" s="169" t="e">
        <f t="shared" si="31"/>
        <v>#DIV/0!</v>
      </c>
      <c r="BA24" s="169" t="e">
        <f t="shared" si="32"/>
        <v>#DIV/0!</v>
      </c>
      <c r="BB24" s="169" t="e">
        <f t="shared" si="33"/>
        <v>#DIV/0!</v>
      </c>
      <c r="BC24" s="169" t="e">
        <f t="shared" si="34"/>
        <v>#DIV/0!</v>
      </c>
      <c r="BD24" s="170" t="e">
        <f t="shared" si="35"/>
        <v>#DIV/0!</v>
      </c>
      <c r="BE24" s="171"/>
      <c r="BF24" s="172">
        <f t="shared" si="14"/>
        <v>0</v>
      </c>
      <c r="BG24" s="173">
        <f t="shared" si="15"/>
        <v>0</v>
      </c>
      <c r="BH24" s="173">
        <f t="shared" si="16"/>
        <v>0</v>
      </c>
      <c r="BI24" s="173">
        <f t="shared" si="17"/>
        <v>0</v>
      </c>
      <c r="BJ24" s="173">
        <f t="shared" si="18"/>
        <v>0</v>
      </c>
      <c r="BK24" s="173">
        <f t="shared" si="19"/>
        <v>0</v>
      </c>
      <c r="BL24" s="173">
        <f t="shared" si="20"/>
        <v>0</v>
      </c>
      <c r="BM24" s="173">
        <f t="shared" si="21"/>
        <v>0</v>
      </c>
      <c r="BN24" s="173">
        <f t="shared" si="22"/>
        <v>0</v>
      </c>
      <c r="BO24" s="173">
        <f t="shared" si="23"/>
        <v>0</v>
      </c>
      <c r="BP24" s="173">
        <f t="shared" si="24"/>
        <v>0</v>
      </c>
      <c r="BQ24" s="173" t="e">
        <f t="shared" si="25"/>
        <v>#DIV/0!</v>
      </c>
      <c r="BR24" s="173">
        <f t="shared" si="26"/>
        <v>30</v>
      </c>
      <c r="BS24" s="174" t="e">
        <f t="shared" si="27"/>
        <v>#DIV/0!</v>
      </c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>
        <f t="shared" si="1"/>
        <v>0</v>
      </c>
      <c r="AO25" s="127">
        <f t="shared" si="1"/>
        <v>0</v>
      </c>
      <c r="AP25" s="128">
        <f t="shared" si="1"/>
        <v>0</v>
      </c>
      <c r="AQ25" s="127">
        <f t="shared" si="1"/>
        <v>0</v>
      </c>
      <c r="AR25" s="128">
        <f t="shared" si="1"/>
        <v>0</v>
      </c>
      <c r="AS25" s="160" t="e">
        <f t="shared" si="2"/>
        <v>#DIV/0!</v>
      </c>
      <c r="AT25" s="122" t="e">
        <f t="shared" si="3"/>
        <v>#DIV/0!</v>
      </c>
      <c r="AU25" s="122" t="e">
        <f t="shared" si="36"/>
        <v>#DIV/0!</v>
      </c>
      <c r="AV25" s="122" t="e">
        <f t="shared" si="5"/>
        <v>#DIV/0!</v>
      </c>
      <c r="AW25" s="122" t="e">
        <f t="shared" ref="AW25:AW31" si="37">(I25-J25)*20/H25</f>
        <v>#DIV/0!</v>
      </c>
      <c r="AX25" s="122" t="e">
        <f t="shared" ref="AX25:AX31" si="38">(K25-L25)*20/H25</f>
        <v>#DIV/0!</v>
      </c>
      <c r="AY25" s="122" t="e">
        <f t="shared" ref="AY25:AY31" si="39">(M25-N25)*20/H25</f>
        <v>#DIV/0!</v>
      </c>
      <c r="AZ25" s="161" t="e">
        <f t="shared" ref="AZ25:AZ31" si="40">(O25-P25)*20/H25</f>
        <v>#DIV/0!</v>
      </c>
      <c r="BA25" s="161" t="e">
        <f t="shared" ref="BA25:BA31" si="41">(Q25-R25)*20/H25</f>
        <v>#DIV/0!</v>
      </c>
      <c r="BB25" s="161" t="e">
        <f t="shared" ref="BB25:BB31" si="42">(S25-T25)*20/H25</f>
        <v>#DIV/0!</v>
      </c>
      <c r="BC25" s="161" t="e">
        <f t="shared" ref="BC25:BC31" si="43">(U25-V25)*20/H25</f>
        <v>#DIV/0!</v>
      </c>
      <c r="BD25" s="162" t="e">
        <f t="shared" ref="BD25:BD31" si="44">(W25-X25)*20/H25</f>
        <v>#DIV/0!</v>
      </c>
      <c r="BE25" s="179"/>
      <c r="BF25" s="163">
        <f t="shared" si="14"/>
        <v>0</v>
      </c>
      <c r="BG25" s="164">
        <f t="shared" si="15"/>
        <v>0</v>
      </c>
      <c r="BH25" s="164">
        <f t="shared" si="16"/>
        <v>0</v>
      </c>
      <c r="BI25" s="164">
        <f t="shared" si="17"/>
        <v>0</v>
      </c>
      <c r="BJ25" s="164">
        <f t="shared" si="18"/>
        <v>0</v>
      </c>
      <c r="BK25" s="164">
        <f t="shared" si="19"/>
        <v>0</v>
      </c>
      <c r="BL25" s="164">
        <f t="shared" si="20"/>
        <v>0</v>
      </c>
      <c r="BM25" s="164">
        <f t="shared" si="21"/>
        <v>0</v>
      </c>
      <c r="BN25" s="164">
        <f t="shared" si="22"/>
        <v>0</v>
      </c>
      <c r="BO25" s="164">
        <f t="shared" si="23"/>
        <v>0</v>
      </c>
      <c r="BP25" s="164">
        <f t="shared" si="24"/>
        <v>0</v>
      </c>
      <c r="BQ25" s="164" t="e">
        <f t="shared" si="25"/>
        <v>#DIV/0!</v>
      </c>
      <c r="BR25" s="164">
        <f t="shared" si="26"/>
        <v>30</v>
      </c>
      <c r="BS25" s="165" t="e">
        <f t="shared" si="27"/>
        <v>#DIV/0!</v>
      </c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>
        <f t="shared" si="1"/>
        <v>0</v>
      </c>
      <c r="AO26" s="127">
        <f t="shared" si="1"/>
        <v>0</v>
      </c>
      <c r="AP26" s="128">
        <f t="shared" si="1"/>
        <v>0</v>
      </c>
      <c r="AQ26" s="127">
        <f t="shared" si="1"/>
        <v>0</v>
      </c>
      <c r="AR26" s="128">
        <f t="shared" si="1"/>
        <v>0</v>
      </c>
      <c r="AS26" s="160" t="e">
        <f t="shared" si="2"/>
        <v>#DIV/0!</v>
      </c>
      <c r="AT26" s="122" t="e">
        <f t="shared" si="3"/>
        <v>#DIV/0!</v>
      </c>
      <c r="AU26" s="122" t="e">
        <f t="shared" si="36"/>
        <v>#DIV/0!</v>
      </c>
      <c r="AV26" s="122" t="e">
        <f t="shared" si="5"/>
        <v>#DIV/0!</v>
      </c>
      <c r="AW26" s="122" t="e">
        <f t="shared" si="37"/>
        <v>#DIV/0!</v>
      </c>
      <c r="AX26" s="122" t="e">
        <f t="shared" si="38"/>
        <v>#DIV/0!</v>
      </c>
      <c r="AY26" s="122" t="e">
        <f t="shared" si="39"/>
        <v>#DIV/0!</v>
      </c>
      <c r="AZ26" s="161" t="e">
        <f t="shared" si="40"/>
        <v>#DIV/0!</v>
      </c>
      <c r="BA26" s="161" t="e">
        <f t="shared" si="41"/>
        <v>#DIV/0!</v>
      </c>
      <c r="BB26" s="161" t="e">
        <f t="shared" si="42"/>
        <v>#DIV/0!</v>
      </c>
      <c r="BC26" s="161" t="e">
        <f t="shared" si="43"/>
        <v>#DIV/0!</v>
      </c>
      <c r="BD26" s="162" t="e">
        <f t="shared" si="44"/>
        <v>#DIV/0!</v>
      </c>
      <c r="BE26" s="179"/>
      <c r="BF26" s="139">
        <f t="shared" si="14"/>
        <v>0</v>
      </c>
      <c r="BG26" s="140">
        <f t="shared" si="15"/>
        <v>0</v>
      </c>
      <c r="BH26" s="140">
        <f t="shared" si="16"/>
        <v>0</v>
      </c>
      <c r="BI26" s="140">
        <f t="shared" si="17"/>
        <v>0</v>
      </c>
      <c r="BJ26" s="140">
        <f t="shared" si="18"/>
        <v>0</v>
      </c>
      <c r="BK26" s="140">
        <f t="shared" si="19"/>
        <v>0</v>
      </c>
      <c r="BL26" s="140">
        <f t="shared" si="20"/>
        <v>0</v>
      </c>
      <c r="BM26" s="140">
        <f t="shared" si="21"/>
        <v>0</v>
      </c>
      <c r="BN26" s="140">
        <f t="shared" si="22"/>
        <v>0</v>
      </c>
      <c r="BO26" s="140">
        <f t="shared" si="23"/>
        <v>0</v>
      </c>
      <c r="BP26" s="140">
        <f t="shared" si="24"/>
        <v>0</v>
      </c>
      <c r="BQ26" s="140" t="e">
        <f t="shared" si="25"/>
        <v>#DIV/0!</v>
      </c>
      <c r="BR26" s="140">
        <f t="shared" si="26"/>
        <v>30</v>
      </c>
      <c r="BS26" s="141" t="e">
        <f t="shared" si="27"/>
        <v>#DIV/0!</v>
      </c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>
        <f t="shared" si="1"/>
        <v>0</v>
      </c>
      <c r="AO27" s="127">
        <f t="shared" si="1"/>
        <v>0</v>
      </c>
      <c r="AP27" s="128">
        <f t="shared" si="1"/>
        <v>0</v>
      </c>
      <c r="AQ27" s="127">
        <f t="shared" si="1"/>
        <v>0</v>
      </c>
      <c r="AR27" s="128">
        <f t="shared" si="1"/>
        <v>0</v>
      </c>
      <c r="AS27" s="160" t="e">
        <f t="shared" si="2"/>
        <v>#DIV/0!</v>
      </c>
      <c r="AT27" s="122" t="e">
        <f t="shared" si="3"/>
        <v>#DIV/0!</v>
      </c>
      <c r="AU27" s="122" t="e">
        <f t="shared" si="36"/>
        <v>#DIV/0!</v>
      </c>
      <c r="AV27" s="122" t="e">
        <f t="shared" si="5"/>
        <v>#DIV/0!</v>
      </c>
      <c r="AW27" s="122" t="e">
        <f t="shared" si="37"/>
        <v>#DIV/0!</v>
      </c>
      <c r="AX27" s="122" t="e">
        <f t="shared" si="38"/>
        <v>#DIV/0!</v>
      </c>
      <c r="AY27" s="122" t="e">
        <f t="shared" si="39"/>
        <v>#DIV/0!</v>
      </c>
      <c r="AZ27" s="161" t="e">
        <f t="shared" si="40"/>
        <v>#DIV/0!</v>
      </c>
      <c r="BA27" s="161" t="e">
        <f t="shared" si="41"/>
        <v>#DIV/0!</v>
      </c>
      <c r="BB27" s="161" t="e">
        <f t="shared" si="42"/>
        <v>#DIV/0!</v>
      </c>
      <c r="BC27" s="161" t="e">
        <f t="shared" si="43"/>
        <v>#DIV/0!</v>
      </c>
      <c r="BD27" s="162" t="e">
        <f t="shared" si="44"/>
        <v>#DIV/0!</v>
      </c>
      <c r="BE27" s="179"/>
      <c r="BF27" s="139">
        <f t="shared" si="14"/>
        <v>0</v>
      </c>
      <c r="BG27" s="140">
        <f t="shared" si="15"/>
        <v>0</v>
      </c>
      <c r="BH27" s="140">
        <f t="shared" si="16"/>
        <v>0</v>
      </c>
      <c r="BI27" s="140">
        <f t="shared" si="17"/>
        <v>0</v>
      </c>
      <c r="BJ27" s="140">
        <f t="shared" si="18"/>
        <v>0</v>
      </c>
      <c r="BK27" s="140">
        <f t="shared" si="19"/>
        <v>0</v>
      </c>
      <c r="BL27" s="140">
        <f t="shared" si="20"/>
        <v>0</v>
      </c>
      <c r="BM27" s="140">
        <f t="shared" si="21"/>
        <v>0</v>
      </c>
      <c r="BN27" s="140">
        <f t="shared" si="22"/>
        <v>0</v>
      </c>
      <c r="BO27" s="140">
        <f t="shared" si="23"/>
        <v>0</v>
      </c>
      <c r="BP27" s="140">
        <f t="shared" si="24"/>
        <v>0</v>
      </c>
      <c r="BQ27" s="140" t="e">
        <f t="shared" si="25"/>
        <v>#DIV/0!</v>
      </c>
      <c r="BR27" s="140">
        <f t="shared" si="26"/>
        <v>30</v>
      </c>
      <c r="BS27" s="141" t="e">
        <f t="shared" si="27"/>
        <v>#DIV/0!</v>
      </c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>
        <f t="shared" si="1"/>
        <v>0</v>
      </c>
      <c r="AO28" s="127">
        <f t="shared" si="1"/>
        <v>0</v>
      </c>
      <c r="AP28" s="128">
        <f t="shared" si="1"/>
        <v>0</v>
      </c>
      <c r="AQ28" s="127">
        <f t="shared" si="1"/>
        <v>0</v>
      </c>
      <c r="AR28" s="128">
        <f t="shared" si="1"/>
        <v>0</v>
      </c>
      <c r="AS28" s="160" t="e">
        <f t="shared" si="2"/>
        <v>#DIV/0!</v>
      </c>
      <c r="AT28" s="122" t="e">
        <f t="shared" si="3"/>
        <v>#DIV/0!</v>
      </c>
      <c r="AU28" s="122" t="e">
        <f t="shared" si="36"/>
        <v>#DIV/0!</v>
      </c>
      <c r="AV28" s="122" t="e">
        <f t="shared" si="5"/>
        <v>#DIV/0!</v>
      </c>
      <c r="AW28" s="122" t="e">
        <f t="shared" si="37"/>
        <v>#DIV/0!</v>
      </c>
      <c r="AX28" s="122" t="e">
        <f t="shared" si="38"/>
        <v>#DIV/0!</v>
      </c>
      <c r="AY28" s="122" t="e">
        <f t="shared" si="39"/>
        <v>#DIV/0!</v>
      </c>
      <c r="AZ28" s="161" t="e">
        <f t="shared" si="40"/>
        <v>#DIV/0!</v>
      </c>
      <c r="BA28" s="161" t="e">
        <f t="shared" si="41"/>
        <v>#DIV/0!</v>
      </c>
      <c r="BB28" s="161" t="e">
        <f t="shared" si="42"/>
        <v>#DIV/0!</v>
      </c>
      <c r="BC28" s="161" t="e">
        <f t="shared" si="43"/>
        <v>#DIV/0!</v>
      </c>
      <c r="BD28" s="162" t="e">
        <f t="shared" si="44"/>
        <v>#DIV/0!</v>
      </c>
      <c r="BE28" s="179"/>
      <c r="BF28" s="139">
        <f t="shared" si="14"/>
        <v>0</v>
      </c>
      <c r="BG28" s="140">
        <f t="shared" si="15"/>
        <v>0</v>
      </c>
      <c r="BH28" s="140">
        <f t="shared" si="16"/>
        <v>0</v>
      </c>
      <c r="BI28" s="140">
        <f t="shared" si="17"/>
        <v>0</v>
      </c>
      <c r="BJ28" s="140">
        <f t="shared" si="18"/>
        <v>0</v>
      </c>
      <c r="BK28" s="140">
        <f t="shared" si="19"/>
        <v>0</v>
      </c>
      <c r="BL28" s="140">
        <f t="shared" si="20"/>
        <v>0</v>
      </c>
      <c r="BM28" s="140">
        <f t="shared" si="21"/>
        <v>0</v>
      </c>
      <c r="BN28" s="140">
        <f t="shared" si="22"/>
        <v>0</v>
      </c>
      <c r="BO28" s="140">
        <f t="shared" si="23"/>
        <v>0</v>
      </c>
      <c r="BP28" s="140">
        <f t="shared" si="24"/>
        <v>0</v>
      </c>
      <c r="BQ28" s="140" t="e">
        <f t="shared" si="25"/>
        <v>#DIV/0!</v>
      </c>
      <c r="BR28" s="140">
        <f t="shared" si="26"/>
        <v>30</v>
      </c>
      <c r="BS28" s="141" t="e">
        <f t="shared" si="27"/>
        <v>#DIV/0!</v>
      </c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>
        <f t="shared" si="1"/>
        <v>0</v>
      </c>
      <c r="AO29" s="127">
        <f t="shared" si="1"/>
        <v>0</v>
      </c>
      <c r="AP29" s="128">
        <f t="shared" si="1"/>
        <v>0</v>
      </c>
      <c r="AQ29" s="127">
        <f t="shared" si="1"/>
        <v>0</v>
      </c>
      <c r="AR29" s="128">
        <f t="shared" si="1"/>
        <v>0</v>
      </c>
      <c r="AS29" s="160" t="e">
        <f t="shared" si="2"/>
        <v>#DIV/0!</v>
      </c>
      <c r="AT29" s="122" t="e">
        <f t="shared" si="3"/>
        <v>#DIV/0!</v>
      </c>
      <c r="AU29" s="122" t="e">
        <f t="shared" si="36"/>
        <v>#DIV/0!</v>
      </c>
      <c r="AV29" s="122" t="e">
        <f t="shared" si="5"/>
        <v>#DIV/0!</v>
      </c>
      <c r="AW29" s="122" t="e">
        <f t="shared" si="37"/>
        <v>#DIV/0!</v>
      </c>
      <c r="AX29" s="122" t="e">
        <f t="shared" si="38"/>
        <v>#DIV/0!</v>
      </c>
      <c r="AY29" s="122" t="e">
        <f t="shared" si="39"/>
        <v>#DIV/0!</v>
      </c>
      <c r="AZ29" s="161" t="e">
        <f t="shared" si="40"/>
        <v>#DIV/0!</v>
      </c>
      <c r="BA29" s="161" t="e">
        <f t="shared" si="41"/>
        <v>#DIV/0!</v>
      </c>
      <c r="BB29" s="161" t="e">
        <f t="shared" si="42"/>
        <v>#DIV/0!</v>
      </c>
      <c r="BC29" s="161" t="e">
        <f t="shared" si="43"/>
        <v>#DIV/0!</v>
      </c>
      <c r="BD29" s="162" t="e">
        <f t="shared" si="44"/>
        <v>#DIV/0!</v>
      </c>
      <c r="BE29" s="179"/>
      <c r="BF29" s="139">
        <f t="shared" si="14"/>
        <v>0</v>
      </c>
      <c r="BG29" s="140">
        <f t="shared" si="15"/>
        <v>0</v>
      </c>
      <c r="BH29" s="140">
        <f t="shared" si="16"/>
        <v>0</v>
      </c>
      <c r="BI29" s="140">
        <f t="shared" si="17"/>
        <v>0</v>
      </c>
      <c r="BJ29" s="140">
        <f t="shared" si="18"/>
        <v>0</v>
      </c>
      <c r="BK29" s="140">
        <f t="shared" si="19"/>
        <v>0</v>
      </c>
      <c r="BL29" s="140">
        <f t="shared" si="20"/>
        <v>0</v>
      </c>
      <c r="BM29" s="140">
        <f t="shared" si="21"/>
        <v>0</v>
      </c>
      <c r="BN29" s="140">
        <f t="shared" si="22"/>
        <v>0</v>
      </c>
      <c r="BO29" s="140">
        <f t="shared" si="23"/>
        <v>0</v>
      </c>
      <c r="BP29" s="140">
        <f t="shared" si="24"/>
        <v>0</v>
      </c>
      <c r="BQ29" s="140" t="e">
        <f t="shared" si="25"/>
        <v>#DIV/0!</v>
      </c>
      <c r="BR29" s="140">
        <f t="shared" si="26"/>
        <v>30</v>
      </c>
      <c r="BS29" s="141" t="e">
        <f t="shared" si="27"/>
        <v>#DIV/0!</v>
      </c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>
        <f t="shared" si="1"/>
        <v>0</v>
      </c>
      <c r="AO30" s="127">
        <f t="shared" si="1"/>
        <v>0</v>
      </c>
      <c r="AP30" s="128">
        <f t="shared" si="1"/>
        <v>0</v>
      </c>
      <c r="AQ30" s="127">
        <f t="shared" si="1"/>
        <v>0</v>
      </c>
      <c r="AR30" s="128">
        <f t="shared" si="1"/>
        <v>0</v>
      </c>
      <c r="AS30" s="160" t="e">
        <f t="shared" si="2"/>
        <v>#DIV/0!</v>
      </c>
      <c r="AT30" s="122" t="e">
        <f t="shared" si="3"/>
        <v>#DIV/0!</v>
      </c>
      <c r="AU30" s="122" t="e">
        <f t="shared" si="36"/>
        <v>#DIV/0!</v>
      </c>
      <c r="AV30" s="122" t="e">
        <f t="shared" si="5"/>
        <v>#DIV/0!</v>
      </c>
      <c r="AW30" s="122" t="e">
        <f t="shared" si="37"/>
        <v>#DIV/0!</v>
      </c>
      <c r="AX30" s="122" t="e">
        <f t="shared" si="38"/>
        <v>#DIV/0!</v>
      </c>
      <c r="AY30" s="122" t="e">
        <f t="shared" si="39"/>
        <v>#DIV/0!</v>
      </c>
      <c r="AZ30" s="161" t="e">
        <f t="shared" si="40"/>
        <v>#DIV/0!</v>
      </c>
      <c r="BA30" s="161" t="e">
        <f t="shared" si="41"/>
        <v>#DIV/0!</v>
      </c>
      <c r="BB30" s="161" t="e">
        <f t="shared" si="42"/>
        <v>#DIV/0!</v>
      </c>
      <c r="BC30" s="161" t="e">
        <f t="shared" si="43"/>
        <v>#DIV/0!</v>
      </c>
      <c r="BD30" s="162" t="e">
        <f t="shared" si="44"/>
        <v>#DIV/0!</v>
      </c>
      <c r="BE30" s="179"/>
      <c r="BF30" s="139">
        <f t="shared" si="14"/>
        <v>0</v>
      </c>
      <c r="BG30" s="140">
        <f t="shared" si="15"/>
        <v>0</v>
      </c>
      <c r="BH30" s="140">
        <f t="shared" si="16"/>
        <v>0</v>
      </c>
      <c r="BI30" s="140">
        <f t="shared" si="17"/>
        <v>0</v>
      </c>
      <c r="BJ30" s="140">
        <f t="shared" si="18"/>
        <v>0</v>
      </c>
      <c r="BK30" s="140">
        <f t="shared" si="19"/>
        <v>0</v>
      </c>
      <c r="BL30" s="140">
        <f t="shared" si="20"/>
        <v>0</v>
      </c>
      <c r="BM30" s="140">
        <f t="shared" si="21"/>
        <v>0</v>
      </c>
      <c r="BN30" s="140">
        <f t="shared" si="22"/>
        <v>0</v>
      </c>
      <c r="BO30" s="140">
        <f t="shared" si="23"/>
        <v>0</v>
      </c>
      <c r="BP30" s="140">
        <f t="shared" si="24"/>
        <v>0</v>
      </c>
      <c r="BQ30" s="140" t="e">
        <f t="shared" si="25"/>
        <v>#DIV/0!</v>
      </c>
      <c r="BR30" s="140">
        <f t="shared" si="26"/>
        <v>30</v>
      </c>
      <c r="BS30" s="141" t="e">
        <f t="shared" si="27"/>
        <v>#DIV/0!</v>
      </c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>
        <f t="shared" si="1"/>
        <v>0</v>
      </c>
      <c r="AO31" s="152">
        <f t="shared" si="1"/>
        <v>0</v>
      </c>
      <c r="AP31" s="153">
        <f t="shared" si="1"/>
        <v>0</v>
      </c>
      <c r="AQ31" s="152">
        <f t="shared" si="1"/>
        <v>0</v>
      </c>
      <c r="AR31" s="153">
        <f t="shared" si="1"/>
        <v>0</v>
      </c>
      <c r="AS31" s="183" t="e">
        <f t="shared" si="2"/>
        <v>#DIV/0!</v>
      </c>
      <c r="AT31" s="148" t="e">
        <f t="shared" si="3"/>
        <v>#DIV/0!</v>
      </c>
      <c r="AU31" s="148" t="e">
        <f t="shared" si="36"/>
        <v>#DIV/0!</v>
      </c>
      <c r="AV31" s="148" t="e">
        <f t="shared" si="5"/>
        <v>#DIV/0!</v>
      </c>
      <c r="AW31" s="148" t="e">
        <f t="shared" si="37"/>
        <v>#DIV/0!</v>
      </c>
      <c r="AX31" s="148" t="e">
        <f t="shared" si="38"/>
        <v>#DIV/0!</v>
      </c>
      <c r="AY31" s="148" t="e">
        <f t="shared" si="39"/>
        <v>#DIV/0!</v>
      </c>
      <c r="AZ31" s="184" t="e">
        <f t="shared" si="40"/>
        <v>#DIV/0!</v>
      </c>
      <c r="BA31" s="184" t="e">
        <f t="shared" si="41"/>
        <v>#DIV/0!</v>
      </c>
      <c r="BB31" s="184" t="e">
        <f t="shared" si="42"/>
        <v>#DIV/0!</v>
      </c>
      <c r="BC31" s="184" t="e">
        <f t="shared" si="43"/>
        <v>#DIV/0!</v>
      </c>
      <c r="BD31" s="185" t="e">
        <f t="shared" si="44"/>
        <v>#DIV/0!</v>
      </c>
      <c r="BE31" s="179"/>
      <c r="BF31" s="139">
        <f t="shared" si="14"/>
        <v>0</v>
      </c>
      <c r="BG31" s="140">
        <f t="shared" si="15"/>
        <v>0</v>
      </c>
      <c r="BH31" s="140">
        <f t="shared" si="16"/>
        <v>0</v>
      </c>
      <c r="BI31" s="140">
        <f t="shared" si="17"/>
        <v>0</v>
      </c>
      <c r="BJ31" s="140">
        <f t="shared" si="18"/>
        <v>0</v>
      </c>
      <c r="BK31" s="140">
        <f t="shared" si="19"/>
        <v>0</v>
      </c>
      <c r="BL31" s="140">
        <f t="shared" si="20"/>
        <v>0</v>
      </c>
      <c r="BM31" s="140">
        <f t="shared" si="21"/>
        <v>0</v>
      </c>
      <c r="BN31" s="140">
        <f t="shared" si="22"/>
        <v>0</v>
      </c>
      <c r="BO31" s="140">
        <f t="shared" si="23"/>
        <v>0</v>
      </c>
      <c r="BP31" s="140">
        <f t="shared" si="24"/>
        <v>0</v>
      </c>
      <c r="BQ31" s="140" t="e">
        <f t="shared" si="25"/>
        <v>#DIV/0!</v>
      </c>
      <c r="BR31" s="140">
        <f t="shared" si="26"/>
        <v>30</v>
      </c>
      <c r="BS31" s="141" t="e">
        <f t="shared" si="27"/>
        <v>#DIV/0!</v>
      </c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>
        <f t="shared" si="1"/>
        <v>0</v>
      </c>
      <c r="AO32" s="127">
        <f t="shared" si="1"/>
        <v>0</v>
      </c>
      <c r="AP32" s="128">
        <f t="shared" si="1"/>
        <v>0</v>
      </c>
      <c r="AQ32" s="127">
        <f t="shared" si="1"/>
        <v>0</v>
      </c>
      <c r="AR32" s="128">
        <f t="shared" si="1"/>
        <v>0</v>
      </c>
      <c r="AS32" s="160" t="e">
        <f t="shared" si="2"/>
        <v>#DIV/0!</v>
      </c>
      <c r="AT32" s="122" t="e">
        <f t="shared" si="3"/>
        <v>#DIV/0!</v>
      </c>
      <c r="AU32" s="122" t="e">
        <f t="shared" si="36"/>
        <v>#DIV/0!</v>
      </c>
      <c r="AV32" s="122" t="e">
        <f t="shared" si="5"/>
        <v>#DIV/0!</v>
      </c>
      <c r="AW32" s="122" t="e">
        <f t="shared" ref="AW32:AW38" si="45">(I32-J32)*40/H32</f>
        <v>#DIV/0!</v>
      </c>
      <c r="AX32" s="122" t="e">
        <f t="shared" ref="AX32:AX38" si="46">(K32-L32)*40/H32</f>
        <v>#DIV/0!</v>
      </c>
      <c r="AY32" s="122" t="e">
        <f t="shared" ref="AY32:AY38" si="47">(M32-N32)*40/H32</f>
        <v>#DIV/0!</v>
      </c>
      <c r="AZ32" s="161" t="e">
        <f t="shared" ref="AZ32:AZ38" si="48">(O32-P32)*40/H32</f>
        <v>#DIV/0!</v>
      </c>
      <c r="BA32" s="161" t="e">
        <f t="shared" ref="BA32:BA38" si="49">(Q32-R32)*40/H32</f>
        <v>#DIV/0!</v>
      </c>
      <c r="BB32" s="161" t="e">
        <f t="shared" ref="BB32:BB38" si="50">(S32-T32)*40/H32</f>
        <v>#DIV/0!</v>
      </c>
      <c r="BC32" s="161" t="e">
        <f t="shared" ref="BC32:BC38" si="51">(U32-V32)*40/H32</f>
        <v>#DIV/0!</v>
      </c>
      <c r="BD32" s="162" t="e">
        <f t="shared" ref="BD32:BD38" si="52">(W32-X32)*40/H32</f>
        <v>#DIV/0!</v>
      </c>
      <c r="BE32" s="179"/>
      <c r="BF32" s="139">
        <f t="shared" si="14"/>
        <v>0</v>
      </c>
      <c r="BG32" s="140">
        <f t="shared" si="15"/>
        <v>0</v>
      </c>
      <c r="BH32" s="140">
        <f t="shared" si="16"/>
        <v>0</v>
      </c>
      <c r="BI32" s="140">
        <f t="shared" si="17"/>
        <v>0</v>
      </c>
      <c r="BJ32" s="140">
        <f t="shared" si="18"/>
        <v>0</v>
      </c>
      <c r="BK32" s="140">
        <f t="shared" si="19"/>
        <v>0</v>
      </c>
      <c r="BL32" s="140">
        <f t="shared" si="20"/>
        <v>0</v>
      </c>
      <c r="BM32" s="140">
        <f t="shared" si="21"/>
        <v>0</v>
      </c>
      <c r="BN32" s="140">
        <f t="shared" si="22"/>
        <v>0</v>
      </c>
      <c r="BO32" s="140">
        <f t="shared" si="23"/>
        <v>0</v>
      </c>
      <c r="BP32" s="140">
        <f t="shared" si="24"/>
        <v>0</v>
      </c>
      <c r="BQ32" s="140" t="e">
        <f t="shared" si="25"/>
        <v>#DIV/0!</v>
      </c>
      <c r="BR32" s="140">
        <f t="shared" si="26"/>
        <v>30</v>
      </c>
      <c r="BS32" s="141" t="e">
        <f t="shared" si="27"/>
        <v>#DIV/0!</v>
      </c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>
        <f t="shared" si="1"/>
        <v>0</v>
      </c>
      <c r="AO33" s="127">
        <f t="shared" si="1"/>
        <v>0</v>
      </c>
      <c r="AP33" s="128">
        <f t="shared" si="1"/>
        <v>0</v>
      </c>
      <c r="AQ33" s="127">
        <f t="shared" si="1"/>
        <v>0</v>
      </c>
      <c r="AR33" s="128">
        <f t="shared" si="1"/>
        <v>0</v>
      </c>
      <c r="AS33" s="160" t="e">
        <f t="shared" si="2"/>
        <v>#DIV/0!</v>
      </c>
      <c r="AT33" s="122" t="e">
        <f t="shared" si="3"/>
        <v>#DIV/0!</v>
      </c>
      <c r="AU33" s="122" t="e">
        <f t="shared" si="36"/>
        <v>#DIV/0!</v>
      </c>
      <c r="AV33" s="122" t="e">
        <f t="shared" si="5"/>
        <v>#DIV/0!</v>
      </c>
      <c r="AW33" s="122" t="e">
        <f t="shared" si="45"/>
        <v>#DIV/0!</v>
      </c>
      <c r="AX33" s="122" t="e">
        <f t="shared" si="46"/>
        <v>#DIV/0!</v>
      </c>
      <c r="AY33" s="122" t="e">
        <f t="shared" si="47"/>
        <v>#DIV/0!</v>
      </c>
      <c r="AZ33" s="161" t="e">
        <f t="shared" si="48"/>
        <v>#DIV/0!</v>
      </c>
      <c r="BA33" s="161" t="e">
        <f t="shared" si="49"/>
        <v>#DIV/0!</v>
      </c>
      <c r="BB33" s="161" t="e">
        <f t="shared" si="50"/>
        <v>#DIV/0!</v>
      </c>
      <c r="BC33" s="161" t="e">
        <f t="shared" si="51"/>
        <v>#DIV/0!</v>
      </c>
      <c r="BD33" s="162" t="e">
        <f t="shared" si="52"/>
        <v>#DIV/0!</v>
      </c>
      <c r="BE33" s="179"/>
      <c r="BF33" s="139">
        <f t="shared" si="14"/>
        <v>0</v>
      </c>
      <c r="BG33" s="140">
        <f t="shared" si="15"/>
        <v>0</v>
      </c>
      <c r="BH33" s="140">
        <f t="shared" si="16"/>
        <v>0</v>
      </c>
      <c r="BI33" s="140">
        <f t="shared" si="17"/>
        <v>0</v>
      </c>
      <c r="BJ33" s="140">
        <f t="shared" si="18"/>
        <v>0</v>
      </c>
      <c r="BK33" s="140">
        <f t="shared" si="19"/>
        <v>0</v>
      </c>
      <c r="BL33" s="140">
        <f t="shared" si="20"/>
        <v>0</v>
      </c>
      <c r="BM33" s="140">
        <f t="shared" si="21"/>
        <v>0</v>
      </c>
      <c r="BN33" s="140">
        <f t="shared" si="22"/>
        <v>0</v>
      </c>
      <c r="BO33" s="140">
        <f t="shared" si="23"/>
        <v>0</v>
      </c>
      <c r="BP33" s="140">
        <f t="shared" si="24"/>
        <v>0</v>
      </c>
      <c r="BQ33" s="140" t="e">
        <f t="shared" si="25"/>
        <v>#DIV/0!</v>
      </c>
      <c r="BR33" s="140">
        <f t="shared" si="26"/>
        <v>30</v>
      </c>
      <c r="BS33" s="141" t="e">
        <f t="shared" si="27"/>
        <v>#DIV/0!</v>
      </c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>
        <f t="shared" si="1"/>
        <v>0</v>
      </c>
      <c r="AO34" s="127">
        <f t="shared" si="1"/>
        <v>0</v>
      </c>
      <c r="AP34" s="128">
        <f t="shared" si="1"/>
        <v>0</v>
      </c>
      <c r="AQ34" s="127">
        <f t="shared" si="1"/>
        <v>0</v>
      </c>
      <c r="AR34" s="128">
        <f t="shared" si="1"/>
        <v>0</v>
      </c>
      <c r="AS34" s="160" t="e">
        <f t="shared" si="2"/>
        <v>#DIV/0!</v>
      </c>
      <c r="AT34" s="122" t="e">
        <f t="shared" si="3"/>
        <v>#DIV/0!</v>
      </c>
      <c r="AU34" s="122" t="e">
        <f t="shared" si="36"/>
        <v>#DIV/0!</v>
      </c>
      <c r="AV34" s="122" t="e">
        <f t="shared" si="5"/>
        <v>#DIV/0!</v>
      </c>
      <c r="AW34" s="122" t="e">
        <f t="shared" si="45"/>
        <v>#DIV/0!</v>
      </c>
      <c r="AX34" s="122" t="e">
        <f t="shared" si="46"/>
        <v>#DIV/0!</v>
      </c>
      <c r="AY34" s="122" t="e">
        <f t="shared" si="47"/>
        <v>#DIV/0!</v>
      </c>
      <c r="AZ34" s="161" t="e">
        <f t="shared" si="48"/>
        <v>#DIV/0!</v>
      </c>
      <c r="BA34" s="161" t="e">
        <f t="shared" si="49"/>
        <v>#DIV/0!</v>
      </c>
      <c r="BB34" s="161" t="e">
        <f t="shared" si="50"/>
        <v>#DIV/0!</v>
      </c>
      <c r="BC34" s="161" t="e">
        <f t="shared" si="51"/>
        <v>#DIV/0!</v>
      </c>
      <c r="BD34" s="162" t="e">
        <f t="shared" si="52"/>
        <v>#DIV/0!</v>
      </c>
      <c r="BE34" s="179"/>
      <c r="BF34" s="139">
        <f t="shared" si="14"/>
        <v>0</v>
      </c>
      <c r="BG34" s="140">
        <f t="shared" si="15"/>
        <v>0</v>
      </c>
      <c r="BH34" s="140">
        <f t="shared" si="16"/>
        <v>0</v>
      </c>
      <c r="BI34" s="140">
        <f t="shared" si="17"/>
        <v>0</v>
      </c>
      <c r="BJ34" s="140">
        <f t="shared" si="18"/>
        <v>0</v>
      </c>
      <c r="BK34" s="140">
        <f t="shared" si="19"/>
        <v>0</v>
      </c>
      <c r="BL34" s="140">
        <f t="shared" si="20"/>
        <v>0</v>
      </c>
      <c r="BM34" s="140">
        <f t="shared" si="21"/>
        <v>0</v>
      </c>
      <c r="BN34" s="140">
        <f t="shared" si="22"/>
        <v>0</v>
      </c>
      <c r="BO34" s="140">
        <f t="shared" si="23"/>
        <v>0</v>
      </c>
      <c r="BP34" s="140">
        <f t="shared" si="24"/>
        <v>0</v>
      </c>
      <c r="BQ34" s="140" t="e">
        <f t="shared" si="25"/>
        <v>#DIV/0!</v>
      </c>
      <c r="BR34" s="140">
        <f t="shared" si="26"/>
        <v>30</v>
      </c>
      <c r="BS34" s="141" t="e">
        <f t="shared" si="27"/>
        <v>#DIV/0!</v>
      </c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>
        <f t="shared" si="1"/>
        <v>0</v>
      </c>
      <c r="AO35" s="127">
        <f t="shared" si="1"/>
        <v>0</v>
      </c>
      <c r="AP35" s="128">
        <f t="shared" si="1"/>
        <v>0</v>
      </c>
      <c r="AQ35" s="127">
        <f t="shared" si="1"/>
        <v>0</v>
      </c>
      <c r="AR35" s="128">
        <f t="shared" si="1"/>
        <v>0</v>
      </c>
      <c r="AS35" s="160" t="e">
        <f t="shared" si="2"/>
        <v>#DIV/0!</v>
      </c>
      <c r="AT35" s="122" t="e">
        <f t="shared" si="3"/>
        <v>#DIV/0!</v>
      </c>
      <c r="AU35" s="122" t="e">
        <f t="shared" si="36"/>
        <v>#DIV/0!</v>
      </c>
      <c r="AV35" s="122" t="e">
        <f t="shared" si="5"/>
        <v>#DIV/0!</v>
      </c>
      <c r="AW35" s="122" t="e">
        <f t="shared" si="45"/>
        <v>#DIV/0!</v>
      </c>
      <c r="AX35" s="122" t="e">
        <f t="shared" si="46"/>
        <v>#DIV/0!</v>
      </c>
      <c r="AY35" s="122" t="e">
        <f t="shared" si="47"/>
        <v>#DIV/0!</v>
      </c>
      <c r="AZ35" s="161" t="e">
        <f t="shared" si="48"/>
        <v>#DIV/0!</v>
      </c>
      <c r="BA35" s="161" t="e">
        <f t="shared" si="49"/>
        <v>#DIV/0!</v>
      </c>
      <c r="BB35" s="161" t="e">
        <f t="shared" si="50"/>
        <v>#DIV/0!</v>
      </c>
      <c r="BC35" s="161" t="e">
        <f t="shared" si="51"/>
        <v>#DIV/0!</v>
      </c>
      <c r="BD35" s="162" t="e">
        <f t="shared" si="52"/>
        <v>#DIV/0!</v>
      </c>
      <c r="BE35" s="179"/>
      <c r="BF35" s="139">
        <f t="shared" si="14"/>
        <v>0</v>
      </c>
      <c r="BG35" s="140">
        <f t="shared" si="15"/>
        <v>0</v>
      </c>
      <c r="BH35" s="140">
        <f t="shared" si="16"/>
        <v>0</v>
      </c>
      <c r="BI35" s="140">
        <f t="shared" si="17"/>
        <v>0</v>
      </c>
      <c r="BJ35" s="140">
        <f t="shared" si="18"/>
        <v>0</v>
      </c>
      <c r="BK35" s="140">
        <f t="shared" si="19"/>
        <v>0</v>
      </c>
      <c r="BL35" s="140">
        <f t="shared" si="20"/>
        <v>0</v>
      </c>
      <c r="BM35" s="140">
        <f t="shared" si="21"/>
        <v>0</v>
      </c>
      <c r="BN35" s="140">
        <f t="shared" si="22"/>
        <v>0</v>
      </c>
      <c r="BO35" s="140">
        <f t="shared" si="23"/>
        <v>0</v>
      </c>
      <c r="BP35" s="140">
        <f t="shared" si="24"/>
        <v>0</v>
      </c>
      <c r="BQ35" s="140" t="e">
        <f t="shared" si="25"/>
        <v>#DIV/0!</v>
      </c>
      <c r="BR35" s="140">
        <f t="shared" si="26"/>
        <v>30</v>
      </c>
      <c r="BS35" s="141" t="e">
        <f t="shared" si="27"/>
        <v>#DIV/0!</v>
      </c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>
        <f t="shared" si="1"/>
        <v>0</v>
      </c>
      <c r="AO36" s="127">
        <f t="shared" si="1"/>
        <v>0</v>
      </c>
      <c r="AP36" s="128">
        <f t="shared" si="1"/>
        <v>0</v>
      </c>
      <c r="AQ36" s="127">
        <f t="shared" si="1"/>
        <v>0</v>
      </c>
      <c r="AR36" s="128">
        <f t="shared" si="1"/>
        <v>0</v>
      </c>
      <c r="AS36" s="160" t="e">
        <f t="shared" si="2"/>
        <v>#DIV/0!</v>
      </c>
      <c r="AT36" s="122" t="e">
        <f t="shared" si="3"/>
        <v>#DIV/0!</v>
      </c>
      <c r="AU36" s="122" t="e">
        <f t="shared" si="36"/>
        <v>#DIV/0!</v>
      </c>
      <c r="AV36" s="122" t="e">
        <f t="shared" si="5"/>
        <v>#DIV/0!</v>
      </c>
      <c r="AW36" s="122" t="e">
        <f t="shared" si="45"/>
        <v>#DIV/0!</v>
      </c>
      <c r="AX36" s="122" t="e">
        <f t="shared" si="46"/>
        <v>#DIV/0!</v>
      </c>
      <c r="AY36" s="122" t="e">
        <f t="shared" si="47"/>
        <v>#DIV/0!</v>
      </c>
      <c r="AZ36" s="161" t="e">
        <f t="shared" si="48"/>
        <v>#DIV/0!</v>
      </c>
      <c r="BA36" s="161" t="e">
        <f t="shared" si="49"/>
        <v>#DIV/0!</v>
      </c>
      <c r="BB36" s="161" t="e">
        <f t="shared" si="50"/>
        <v>#DIV/0!</v>
      </c>
      <c r="BC36" s="161" t="e">
        <f t="shared" si="51"/>
        <v>#DIV/0!</v>
      </c>
      <c r="BD36" s="162" t="e">
        <f t="shared" si="52"/>
        <v>#DIV/0!</v>
      </c>
      <c r="BE36" s="179"/>
      <c r="BF36" s="139">
        <f t="shared" si="14"/>
        <v>0</v>
      </c>
      <c r="BG36" s="140">
        <f t="shared" si="15"/>
        <v>0</v>
      </c>
      <c r="BH36" s="140">
        <f t="shared" si="16"/>
        <v>0</v>
      </c>
      <c r="BI36" s="140">
        <f t="shared" si="17"/>
        <v>0</v>
      </c>
      <c r="BJ36" s="140">
        <f t="shared" si="18"/>
        <v>0</v>
      </c>
      <c r="BK36" s="140">
        <f t="shared" si="19"/>
        <v>0</v>
      </c>
      <c r="BL36" s="140">
        <f t="shared" si="20"/>
        <v>0</v>
      </c>
      <c r="BM36" s="140">
        <f t="shared" si="21"/>
        <v>0</v>
      </c>
      <c r="BN36" s="140">
        <f t="shared" si="22"/>
        <v>0</v>
      </c>
      <c r="BO36" s="140">
        <f t="shared" si="23"/>
        <v>0</v>
      </c>
      <c r="BP36" s="140">
        <f t="shared" si="24"/>
        <v>0</v>
      </c>
      <c r="BQ36" s="140" t="e">
        <f t="shared" si="25"/>
        <v>#DIV/0!</v>
      </c>
      <c r="BR36" s="140">
        <f t="shared" si="26"/>
        <v>30</v>
      </c>
      <c r="BS36" s="141" t="e">
        <f t="shared" si="27"/>
        <v>#DIV/0!</v>
      </c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>
        <f t="shared" si="1"/>
        <v>0</v>
      </c>
      <c r="AO37" s="127">
        <f t="shared" si="1"/>
        <v>0</v>
      </c>
      <c r="AP37" s="128">
        <f t="shared" si="1"/>
        <v>0</v>
      </c>
      <c r="AQ37" s="127">
        <f t="shared" si="1"/>
        <v>0</v>
      </c>
      <c r="AR37" s="128">
        <f t="shared" si="1"/>
        <v>0</v>
      </c>
      <c r="AS37" s="160" t="e">
        <f t="shared" si="2"/>
        <v>#DIV/0!</v>
      </c>
      <c r="AT37" s="122" t="e">
        <f t="shared" si="3"/>
        <v>#DIV/0!</v>
      </c>
      <c r="AU37" s="122" t="e">
        <f t="shared" si="36"/>
        <v>#DIV/0!</v>
      </c>
      <c r="AV37" s="122" t="e">
        <f t="shared" si="5"/>
        <v>#DIV/0!</v>
      </c>
      <c r="AW37" s="122" t="e">
        <f t="shared" si="45"/>
        <v>#DIV/0!</v>
      </c>
      <c r="AX37" s="122" t="e">
        <f t="shared" si="46"/>
        <v>#DIV/0!</v>
      </c>
      <c r="AY37" s="122" t="e">
        <f t="shared" si="47"/>
        <v>#DIV/0!</v>
      </c>
      <c r="AZ37" s="161" t="e">
        <f t="shared" si="48"/>
        <v>#DIV/0!</v>
      </c>
      <c r="BA37" s="161" t="e">
        <f t="shared" si="49"/>
        <v>#DIV/0!</v>
      </c>
      <c r="BB37" s="161" t="e">
        <f t="shared" si="50"/>
        <v>#DIV/0!</v>
      </c>
      <c r="BC37" s="161" t="e">
        <f t="shared" si="51"/>
        <v>#DIV/0!</v>
      </c>
      <c r="BD37" s="162" t="e">
        <f t="shared" si="52"/>
        <v>#DIV/0!</v>
      </c>
      <c r="BE37" s="179"/>
      <c r="BF37" s="139">
        <f t="shared" si="14"/>
        <v>0</v>
      </c>
      <c r="BG37" s="140">
        <f t="shared" si="15"/>
        <v>0</v>
      </c>
      <c r="BH37" s="140">
        <f t="shared" si="16"/>
        <v>0</v>
      </c>
      <c r="BI37" s="140">
        <f t="shared" si="17"/>
        <v>0</v>
      </c>
      <c r="BJ37" s="140">
        <f t="shared" si="18"/>
        <v>0</v>
      </c>
      <c r="BK37" s="140">
        <f t="shared" si="19"/>
        <v>0</v>
      </c>
      <c r="BL37" s="140">
        <f t="shared" si="20"/>
        <v>0</v>
      </c>
      <c r="BM37" s="140">
        <f t="shared" si="21"/>
        <v>0</v>
      </c>
      <c r="BN37" s="140">
        <f t="shared" si="22"/>
        <v>0</v>
      </c>
      <c r="BO37" s="140">
        <f t="shared" si="23"/>
        <v>0</v>
      </c>
      <c r="BP37" s="140">
        <f t="shared" si="24"/>
        <v>0</v>
      </c>
      <c r="BQ37" s="140" t="e">
        <f t="shared" si="25"/>
        <v>#DIV/0!</v>
      </c>
      <c r="BR37" s="140">
        <f t="shared" si="26"/>
        <v>30</v>
      </c>
      <c r="BS37" s="141" t="e">
        <f t="shared" si="27"/>
        <v>#DIV/0!</v>
      </c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90"/>
      <c r="G38" s="191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96">
        <f t="shared" si="1"/>
        <v>0</v>
      </c>
      <c r="AO38" s="197">
        <f t="shared" si="1"/>
        <v>0</v>
      </c>
      <c r="AP38" s="198">
        <f t="shared" si="1"/>
        <v>0</v>
      </c>
      <c r="AQ38" s="197">
        <f t="shared" si="1"/>
        <v>0</v>
      </c>
      <c r="AR38" s="198">
        <f t="shared" si="1"/>
        <v>0</v>
      </c>
      <c r="AS38" s="167" t="e">
        <f t="shared" si="2"/>
        <v>#DIV/0!</v>
      </c>
      <c r="AT38" s="168" t="e">
        <f t="shared" si="3"/>
        <v>#DIV/0!</v>
      </c>
      <c r="AU38" s="168" t="e">
        <f t="shared" si="36"/>
        <v>#DIV/0!</v>
      </c>
      <c r="AV38" s="168" t="e">
        <f t="shared" si="5"/>
        <v>#DIV/0!</v>
      </c>
      <c r="AW38" s="168" t="e">
        <f t="shared" si="45"/>
        <v>#DIV/0!</v>
      </c>
      <c r="AX38" s="168" t="e">
        <f t="shared" si="46"/>
        <v>#DIV/0!</v>
      </c>
      <c r="AY38" s="168" t="e">
        <f t="shared" si="47"/>
        <v>#DIV/0!</v>
      </c>
      <c r="AZ38" s="169" t="e">
        <f t="shared" si="48"/>
        <v>#DIV/0!</v>
      </c>
      <c r="BA38" s="169" t="e">
        <f t="shared" si="49"/>
        <v>#DIV/0!</v>
      </c>
      <c r="BB38" s="169" t="e">
        <f t="shared" si="50"/>
        <v>#DIV/0!</v>
      </c>
      <c r="BC38" s="169" t="e">
        <f t="shared" si="51"/>
        <v>#DIV/0!</v>
      </c>
      <c r="BD38" s="170" t="e">
        <f t="shared" si="52"/>
        <v>#DIV/0!</v>
      </c>
      <c r="BE38" s="179"/>
      <c r="BF38" s="172">
        <f t="shared" si="14"/>
        <v>0</v>
      </c>
      <c r="BG38" s="173">
        <f t="shared" si="15"/>
        <v>0</v>
      </c>
      <c r="BH38" s="173">
        <f t="shared" si="16"/>
        <v>0</v>
      </c>
      <c r="BI38" s="173">
        <f t="shared" si="17"/>
        <v>0</v>
      </c>
      <c r="BJ38" s="173">
        <f t="shared" si="18"/>
        <v>0</v>
      </c>
      <c r="BK38" s="173">
        <f t="shared" si="19"/>
        <v>0</v>
      </c>
      <c r="BL38" s="173">
        <f t="shared" si="20"/>
        <v>0</v>
      </c>
      <c r="BM38" s="173">
        <f t="shared" si="21"/>
        <v>0</v>
      </c>
      <c r="BN38" s="173">
        <f t="shared" si="22"/>
        <v>0</v>
      </c>
      <c r="BO38" s="173">
        <f t="shared" si="23"/>
        <v>0</v>
      </c>
      <c r="BP38" s="173">
        <f t="shared" si="24"/>
        <v>0</v>
      </c>
      <c r="BQ38" s="173" t="e">
        <f t="shared" si="25"/>
        <v>#DIV/0!</v>
      </c>
      <c r="BR38" s="173">
        <f t="shared" si="26"/>
        <v>30</v>
      </c>
      <c r="BS38" s="174" t="e">
        <f t="shared" si="27"/>
        <v>#DIV/0!</v>
      </c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  <colBreaks count="2" manualBreakCount="2">
    <brk id="39" max="39" man="1"/>
    <brk id="57" max="39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zoomScaleNormal="100" zoomScaleSheetLayoutView="100" workbookViewId="0">
      <selection activeCell="A2" sqref="A2"/>
    </sheetView>
  </sheetViews>
  <sheetFormatPr defaultColWidth="9" defaultRowHeight="14" x14ac:dyDescent="0.3"/>
  <cols>
    <col min="1" max="1" width="7.6328125" style="65" customWidth="1"/>
    <col min="2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307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569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長野県環境保全研究所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569</v>
      </c>
      <c r="C4" s="85"/>
      <c r="D4" s="75"/>
      <c r="E4" s="75" t="s">
        <v>107</v>
      </c>
      <c r="F4" s="86" t="s">
        <v>570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長野県環境保全研究所</v>
      </c>
      <c r="AP4" s="81"/>
      <c r="AQ4" s="75"/>
      <c r="AR4" s="75" t="str">
        <f>E4</f>
        <v>担当者：</v>
      </c>
      <c r="AS4" s="75" t="str">
        <f>F4</f>
        <v>花岡良信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W6" s="71"/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50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142</v>
      </c>
      <c r="J9" s="733"/>
      <c r="K9" s="732" t="s">
        <v>143</v>
      </c>
      <c r="L9" s="733"/>
      <c r="M9" s="732" t="s">
        <v>144</v>
      </c>
      <c r="N9" s="733"/>
      <c r="O9" s="732" t="s">
        <v>145</v>
      </c>
      <c r="P9" s="733"/>
      <c r="Q9" s="732" t="s">
        <v>146</v>
      </c>
      <c r="R9" s="733"/>
      <c r="S9" s="732" t="s">
        <v>147</v>
      </c>
      <c r="T9" s="733"/>
      <c r="U9" s="732" t="s">
        <v>264</v>
      </c>
      <c r="V9" s="733"/>
      <c r="W9" s="732" t="s">
        <v>265</v>
      </c>
      <c r="X9" s="733"/>
      <c r="Y9" s="732" t="s">
        <v>142</v>
      </c>
      <c r="Z9" s="733"/>
      <c r="AA9" s="732" t="s">
        <v>143</v>
      </c>
      <c r="AB9" s="733"/>
      <c r="AC9" s="732" t="s">
        <v>144</v>
      </c>
      <c r="AD9" s="733"/>
      <c r="AE9" s="732" t="s">
        <v>145</v>
      </c>
      <c r="AF9" s="733"/>
      <c r="AG9" s="732" t="s">
        <v>142</v>
      </c>
      <c r="AH9" s="733"/>
      <c r="AI9" s="732" t="s">
        <v>144</v>
      </c>
      <c r="AJ9" s="733"/>
      <c r="AK9" s="732" t="s">
        <v>145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266</v>
      </c>
      <c r="BF9" s="718" t="s">
        <v>142</v>
      </c>
      <c r="BG9" s="718" t="s">
        <v>143</v>
      </c>
      <c r="BH9" s="718" t="s">
        <v>144</v>
      </c>
      <c r="BI9" s="718" t="s">
        <v>145</v>
      </c>
      <c r="BJ9" s="718" t="s">
        <v>146</v>
      </c>
      <c r="BK9" s="718" t="s">
        <v>147</v>
      </c>
      <c r="BL9" s="718" t="s">
        <v>148</v>
      </c>
      <c r="BM9" s="720" t="s">
        <v>266</v>
      </c>
      <c r="BN9" s="103" t="s">
        <v>267</v>
      </c>
      <c r="BO9" s="103" t="s">
        <v>268</v>
      </c>
      <c r="BP9" s="103" t="s">
        <v>269</v>
      </c>
      <c r="BQ9" s="103" t="s">
        <v>270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271</v>
      </c>
      <c r="G10" s="108" t="s">
        <v>272</v>
      </c>
      <c r="H10" s="108" t="s">
        <v>272</v>
      </c>
      <c r="I10" s="109" t="s">
        <v>273</v>
      </c>
      <c r="J10" s="109" t="s">
        <v>274</v>
      </c>
      <c r="K10" s="109" t="s">
        <v>273</v>
      </c>
      <c r="L10" s="109" t="s">
        <v>274</v>
      </c>
      <c r="M10" s="109" t="s">
        <v>273</v>
      </c>
      <c r="N10" s="109" t="s">
        <v>274</v>
      </c>
      <c r="O10" s="109" t="s">
        <v>273</v>
      </c>
      <c r="P10" s="109" t="s">
        <v>274</v>
      </c>
      <c r="Q10" s="109" t="s">
        <v>273</v>
      </c>
      <c r="R10" s="109" t="s">
        <v>274</v>
      </c>
      <c r="S10" s="109" t="s">
        <v>273</v>
      </c>
      <c r="T10" s="109" t="s">
        <v>274</v>
      </c>
      <c r="U10" s="109" t="s">
        <v>273</v>
      </c>
      <c r="V10" s="109" t="s">
        <v>274</v>
      </c>
      <c r="W10" s="109" t="s">
        <v>273</v>
      </c>
      <c r="X10" s="109" t="s">
        <v>274</v>
      </c>
      <c r="Y10" s="109" t="s">
        <v>273</v>
      </c>
      <c r="Z10" s="109" t="s">
        <v>274</v>
      </c>
      <c r="AA10" s="109" t="s">
        <v>273</v>
      </c>
      <c r="AB10" s="109" t="s">
        <v>274</v>
      </c>
      <c r="AC10" s="109" t="s">
        <v>273</v>
      </c>
      <c r="AD10" s="109" t="s">
        <v>274</v>
      </c>
      <c r="AE10" s="109" t="s">
        <v>273</v>
      </c>
      <c r="AF10" s="109" t="s">
        <v>274</v>
      </c>
      <c r="AG10" s="109" t="s">
        <v>273</v>
      </c>
      <c r="AH10" s="109" t="s">
        <v>274</v>
      </c>
      <c r="AI10" s="109" t="s">
        <v>273</v>
      </c>
      <c r="AJ10" s="109" t="s">
        <v>274</v>
      </c>
      <c r="AK10" s="109" t="s">
        <v>273</v>
      </c>
      <c r="AL10" s="110" t="s">
        <v>274</v>
      </c>
      <c r="AM10" s="362"/>
      <c r="AN10" s="105"/>
      <c r="AO10" s="112" t="s">
        <v>275</v>
      </c>
      <c r="AP10" s="113" t="s">
        <v>276</v>
      </c>
      <c r="AQ10" s="112" t="s">
        <v>275</v>
      </c>
      <c r="AR10" s="113" t="s">
        <v>276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19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>
        <v>1</v>
      </c>
      <c r="B11" s="523">
        <v>42212</v>
      </c>
      <c r="C11" s="524">
        <v>0.42083333333333334</v>
      </c>
      <c r="D11" s="523">
        <v>42213</v>
      </c>
      <c r="E11" s="119">
        <v>0.4055555555555555</v>
      </c>
      <c r="F11" s="120">
        <v>26.99583333333333</v>
      </c>
      <c r="G11" s="121">
        <v>2.7170160860287709</v>
      </c>
      <c r="H11" s="122">
        <f t="shared" ref="H11:H17" si="0">G11*(20+273)/(F11+273)</f>
        <v>2.6536559003533822</v>
      </c>
      <c r="I11" s="123">
        <v>0.25144655915747627</v>
      </c>
      <c r="J11" s="120">
        <v>0</v>
      </c>
      <c r="K11" s="120">
        <v>0</v>
      </c>
      <c r="L11" s="120">
        <v>0</v>
      </c>
      <c r="M11" s="120">
        <v>1.8499692625706953E-2</v>
      </c>
      <c r="N11" s="120">
        <v>6.5461714193486122E-3</v>
      </c>
      <c r="O11" s="120">
        <v>0.1081708126692288</v>
      </c>
      <c r="P11" s="120">
        <v>4.5105603345699293E-3</v>
      </c>
      <c r="Q11" s="120">
        <v>3.3431331085544941E-2</v>
      </c>
      <c r="R11" s="120">
        <v>3.4026941302820871E-3</v>
      </c>
      <c r="S11" s="120">
        <v>1.3831865674263647E-2</v>
      </c>
      <c r="T11" s="120">
        <v>1.229347511224425E-3</v>
      </c>
      <c r="U11" s="120">
        <v>7.0877244998505066E-3</v>
      </c>
      <c r="V11" s="120">
        <v>1.4349532548067264E-3</v>
      </c>
      <c r="W11" s="120">
        <v>6.8110653888069195E-2</v>
      </c>
      <c r="X11" s="120">
        <v>5.1828168947446199E-2</v>
      </c>
      <c r="Y11" s="120">
        <v>0</v>
      </c>
      <c r="Z11" s="120">
        <v>0</v>
      </c>
      <c r="AA11" s="120">
        <v>0.19885225154165373</v>
      </c>
      <c r="AB11" s="120">
        <v>0</v>
      </c>
      <c r="AC11" s="120">
        <v>0.26586678933669095</v>
      </c>
      <c r="AD11" s="120">
        <v>0.29639782180089497</v>
      </c>
      <c r="AE11" s="120">
        <v>6.5605510153464233E-3</v>
      </c>
      <c r="AF11" s="120">
        <v>2.1807389183914866E-2</v>
      </c>
      <c r="AG11" s="120">
        <v>0.14482250611922429</v>
      </c>
      <c r="AH11" s="120">
        <v>0</v>
      </c>
      <c r="AI11" s="120">
        <v>0</v>
      </c>
      <c r="AJ11" s="120">
        <v>0</v>
      </c>
      <c r="AK11" s="120">
        <v>0.36140664727974914</v>
      </c>
      <c r="AL11" s="121">
        <v>6.6495498628175052E-3</v>
      </c>
      <c r="AM11" s="364"/>
      <c r="AN11" s="365">
        <f t="shared" ref="AN11:AR38" si="1">A11</f>
        <v>1</v>
      </c>
      <c r="AO11" s="127">
        <f t="shared" si="1"/>
        <v>42212</v>
      </c>
      <c r="AP11" s="128">
        <f t="shared" si="1"/>
        <v>0.42083333333333334</v>
      </c>
      <c r="AQ11" s="127">
        <f t="shared" si="1"/>
        <v>42213</v>
      </c>
      <c r="AR11" s="128">
        <f t="shared" si="1"/>
        <v>0.4055555555555555</v>
      </c>
      <c r="AS11" s="129">
        <f t="shared" ref="AS11:AS38" si="2">1000/96.06*(Y11-Z11+AG11-AH11)*20/H11</f>
        <v>11.36262999232984</v>
      </c>
      <c r="AT11" s="132">
        <f t="shared" ref="AT11:AT38" si="3">1000/62.01*(AA11-AB11)*20/H11</f>
        <v>24.168748910925956</v>
      </c>
      <c r="AU11" s="122">
        <f t="shared" ref="AU11:AU17" si="4">1000/35.45*(AI11-AJ11)*20/H11</f>
        <v>0</v>
      </c>
      <c r="AV11" s="131">
        <f t="shared" ref="AV11:AV38" si="5">1000/18.04*(AE11-AF11+AK11-AL11)*20/H11</f>
        <v>141.84099119710751</v>
      </c>
      <c r="AW11" s="132">
        <f t="shared" ref="AW11:AW17" si="6">1000/96.06*(I11-J11)*20/H11</f>
        <v>19.72824729464903</v>
      </c>
      <c r="AX11" s="132">
        <f t="shared" ref="AX11:AX17" si="7">1000/62.01*(K11-L11)*20/H11</f>
        <v>0</v>
      </c>
      <c r="AY11" s="132">
        <f t="shared" ref="AY11:AY17" si="8">1000/35.45*(M11-N11)*20/H11</f>
        <v>2.5413530673748217</v>
      </c>
      <c r="AZ11" s="133">
        <f t="shared" ref="AZ11:AZ17" si="9">1000/18.04*(O11-P11)*20/H11</f>
        <v>43.30730084988199</v>
      </c>
      <c r="BA11" s="133">
        <f t="shared" ref="BA11:BA17" si="10">1000/22.99*(Q11-R11)*20/H11</f>
        <v>9.8442364507586202</v>
      </c>
      <c r="BB11" s="133">
        <f t="shared" ref="BB11:BB17" si="11">1000/39.1*(S11-T11)*20/H11</f>
        <v>2.4292150499998915</v>
      </c>
      <c r="BC11" s="133">
        <f t="shared" ref="BC11:BC17" si="12">1000/24.31*(U11-V11)*20/H11</f>
        <v>1.7525153901252137</v>
      </c>
      <c r="BD11" s="134">
        <f t="shared" ref="BD11:BD17" si="13">1000/40*(W11-X11)*20/H11</f>
        <v>3.0679344934011019</v>
      </c>
      <c r="BF11" s="135">
        <f t="shared" ref="BF11:BF38" si="14">(I11-J11)/48.03*1000</f>
        <v>5.2351979837076046</v>
      </c>
      <c r="BG11" s="136">
        <f t="shared" ref="BG11:BG38" si="15">(K11-L11)/62.01*1000</f>
        <v>0</v>
      </c>
      <c r="BH11" s="136">
        <f t="shared" ref="BH11:BH38" si="16">(M11-N11)/35.45*1000</f>
        <v>0.33719382810601806</v>
      </c>
      <c r="BI11" s="136">
        <f t="shared" ref="BI11:BI38" si="17">(O11-P11)/18.04*1000</f>
        <v>5.7461337214334192</v>
      </c>
      <c r="BJ11" s="136">
        <f t="shared" ref="BJ11:BJ38" si="18">(Q11-R11)/22.99*1000</f>
        <v>1.3061608071014725</v>
      </c>
      <c r="BK11" s="136">
        <f t="shared" ref="BK11:BK38" si="19">(S11-T11)/39.1*1000</f>
        <v>0.32231504253297244</v>
      </c>
      <c r="BL11" s="136">
        <f t="shared" ref="BL11:BL38" si="20">(U11-V11)/12.16*1000</f>
        <v>0.46486605633583716</v>
      </c>
      <c r="BM11" s="136">
        <f t="shared" ref="BM11:BM38" si="21">(W11-X11)/20.04*1000</f>
        <v>0.81249924853408173</v>
      </c>
      <c r="BN11" s="136">
        <f t="shared" ref="BN11:BN38" si="22">SUM(BF11:BH11)</f>
        <v>5.5723918118136222</v>
      </c>
      <c r="BO11" s="136">
        <f t="shared" ref="BO11:BO38" si="23">SUM(BI11:BM11)</f>
        <v>8.6519748759377837</v>
      </c>
      <c r="BP11" s="136">
        <f t="shared" ref="BP11:BP38" si="24">BN11+BO11</f>
        <v>14.224366687751406</v>
      </c>
      <c r="BQ11" s="136">
        <f t="shared" ref="BQ11:BQ38" si="25">(BO11-BN11)/BP11*100</f>
        <v>21.650053965326897</v>
      </c>
      <c r="BR11" s="136">
        <f t="shared" ref="BR11:BR38" si="26">IF(BP11&lt;50,30,IF(BP11&lt;=100,15,8))</f>
        <v>30</v>
      </c>
      <c r="BS11" s="137" t="str">
        <f t="shared" ref="BS11:BS38" si="27">IF(ABS(BQ11)&lt;BR11,"○","×")</f>
        <v>○</v>
      </c>
    </row>
    <row r="12" spans="1:71" s="72" customFormat="1" ht="15" customHeight="1" x14ac:dyDescent="0.3">
      <c r="A12" s="117">
        <v>2</v>
      </c>
      <c r="B12" s="523">
        <v>42213</v>
      </c>
      <c r="C12" s="524">
        <v>0.41388888888888892</v>
      </c>
      <c r="D12" s="523">
        <v>42214</v>
      </c>
      <c r="E12" s="119">
        <v>0.40347222222222223</v>
      </c>
      <c r="F12" s="120">
        <v>26.141666666666669</v>
      </c>
      <c r="G12" s="121">
        <v>2.7302338468026273</v>
      </c>
      <c r="H12" s="122">
        <f t="shared" si="0"/>
        <v>2.6741795151009939</v>
      </c>
      <c r="I12" s="123">
        <v>0.6290997644042603</v>
      </c>
      <c r="J12" s="120">
        <v>0</v>
      </c>
      <c r="K12" s="120">
        <v>0.11415752615708086</v>
      </c>
      <c r="L12" s="120">
        <v>0</v>
      </c>
      <c r="M12" s="120">
        <v>1.4347175747267502E-2</v>
      </c>
      <c r="N12" s="120">
        <v>6.5461714193486122E-3</v>
      </c>
      <c r="O12" s="120">
        <v>0.24650338718755582</v>
      </c>
      <c r="P12" s="120">
        <v>4.5105603345699293E-3</v>
      </c>
      <c r="Q12" s="120">
        <v>2.6504159152791376E-2</v>
      </c>
      <c r="R12" s="120">
        <v>3.4026941302820871E-3</v>
      </c>
      <c r="S12" s="120">
        <v>1.3203154052275375E-2</v>
      </c>
      <c r="T12" s="120">
        <v>1.229347511224425E-3</v>
      </c>
      <c r="U12" s="120">
        <v>1.000947876284509E-2</v>
      </c>
      <c r="V12" s="120">
        <v>1.4349532548067264E-3</v>
      </c>
      <c r="W12" s="120">
        <v>7.790948597613348E-2</v>
      </c>
      <c r="X12" s="120">
        <v>5.1828168947446199E-2</v>
      </c>
      <c r="Y12" s="120">
        <v>0</v>
      </c>
      <c r="Z12" s="120">
        <v>0</v>
      </c>
      <c r="AA12" s="120">
        <v>0.19510448582583348</v>
      </c>
      <c r="AB12" s="120">
        <v>0</v>
      </c>
      <c r="AC12" s="120">
        <v>0.26282511402216596</v>
      </c>
      <c r="AD12" s="120">
        <v>0.29639782180089497</v>
      </c>
      <c r="AE12" s="120">
        <v>1.8804811374978518E-2</v>
      </c>
      <c r="AF12" s="120">
        <v>2.1807389183914866E-2</v>
      </c>
      <c r="AG12" s="120">
        <v>0.12309905700415358</v>
      </c>
      <c r="AH12" s="120">
        <v>0</v>
      </c>
      <c r="AI12" s="120">
        <v>0</v>
      </c>
      <c r="AJ12" s="120">
        <v>0</v>
      </c>
      <c r="AK12" s="120">
        <v>0.36764075823828518</v>
      </c>
      <c r="AL12" s="121">
        <v>6.6495498628175052E-3</v>
      </c>
      <c r="AM12" s="366"/>
      <c r="AN12" s="365">
        <f t="shared" si="1"/>
        <v>2</v>
      </c>
      <c r="AO12" s="127">
        <f t="shared" si="1"/>
        <v>42213</v>
      </c>
      <c r="AP12" s="128">
        <f t="shared" si="1"/>
        <v>0.41388888888888892</v>
      </c>
      <c r="AQ12" s="127">
        <f t="shared" si="1"/>
        <v>42214</v>
      </c>
      <c r="AR12" s="128">
        <f t="shared" si="1"/>
        <v>0.40347222222222223</v>
      </c>
      <c r="AS12" s="129">
        <f t="shared" si="2"/>
        <v>9.5841054123921268</v>
      </c>
      <c r="AT12" s="132">
        <f t="shared" si="3"/>
        <v>23.531248024053003</v>
      </c>
      <c r="AU12" s="122">
        <f t="shared" si="4"/>
        <v>0</v>
      </c>
      <c r="AV12" s="131">
        <f t="shared" si="5"/>
        <v>148.41306658924</v>
      </c>
      <c r="AW12" s="132">
        <f t="shared" si="6"/>
        <v>48.97972903852579</v>
      </c>
      <c r="AX12" s="132">
        <f t="shared" si="7"/>
        <v>13.768361349787597</v>
      </c>
      <c r="AY12" s="132">
        <f t="shared" si="8"/>
        <v>1.645787340243462</v>
      </c>
      <c r="AZ12" s="133">
        <f t="shared" si="9"/>
        <v>100.3241289227925</v>
      </c>
      <c r="BA12" s="133">
        <f t="shared" si="10"/>
        <v>7.5151904175313975</v>
      </c>
      <c r="BB12" s="133">
        <f t="shared" si="11"/>
        <v>2.2903134189657219</v>
      </c>
      <c r="BC12" s="133">
        <f t="shared" si="12"/>
        <v>2.6379379500638027</v>
      </c>
      <c r="BD12" s="134">
        <f t="shared" si="13"/>
        <v>4.8765082675652547</v>
      </c>
      <c r="BF12" s="139">
        <f t="shared" si="14"/>
        <v>13.098058805002296</v>
      </c>
      <c r="BG12" s="140">
        <f t="shared" si="15"/>
        <v>1.840953493905513</v>
      </c>
      <c r="BH12" s="140">
        <f t="shared" si="16"/>
        <v>0.2200565395745808</v>
      </c>
      <c r="BI12" s="140">
        <f t="shared" si="17"/>
        <v>13.414236521784142</v>
      </c>
      <c r="BJ12" s="140">
        <f t="shared" si="18"/>
        <v>1.0048484133322875</v>
      </c>
      <c r="BK12" s="140">
        <f t="shared" si="19"/>
        <v>0.30623546140795266</v>
      </c>
      <c r="BL12" s="140">
        <f t="shared" si="20"/>
        <v>0.70514190033210222</v>
      </c>
      <c r="BM12" s="140">
        <f t="shared" si="21"/>
        <v>1.3014629255831978</v>
      </c>
      <c r="BN12" s="140">
        <f t="shared" si="22"/>
        <v>15.159068838482389</v>
      </c>
      <c r="BO12" s="140">
        <f t="shared" si="23"/>
        <v>16.731925222439681</v>
      </c>
      <c r="BP12" s="140">
        <f t="shared" si="24"/>
        <v>31.890994060922068</v>
      </c>
      <c r="BQ12" s="140">
        <f t="shared" si="25"/>
        <v>4.9319766607231816</v>
      </c>
      <c r="BR12" s="140">
        <f t="shared" si="26"/>
        <v>30</v>
      </c>
      <c r="BS12" s="141" t="str">
        <f t="shared" si="27"/>
        <v>○</v>
      </c>
    </row>
    <row r="13" spans="1:71" s="72" customFormat="1" ht="15" customHeight="1" x14ac:dyDescent="0.3">
      <c r="A13" s="117">
        <v>3</v>
      </c>
      <c r="B13" s="523">
        <v>42214</v>
      </c>
      <c r="C13" s="524">
        <v>0.41180555555555554</v>
      </c>
      <c r="D13" s="523">
        <v>42215</v>
      </c>
      <c r="E13" s="119">
        <v>0.4055555555555555</v>
      </c>
      <c r="F13" s="120">
        <v>26.920833333333331</v>
      </c>
      <c r="G13" s="121">
        <v>2.7413444283226798</v>
      </c>
      <c r="H13" s="122">
        <f t="shared" si="0"/>
        <v>2.6780864422507444</v>
      </c>
      <c r="I13" s="123">
        <v>1.1225453167700741</v>
      </c>
      <c r="J13" s="120">
        <v>0</v>
      </c>
      <c r="K13" s="120">
        <v>0.11634865320051632</v>
      </c>
      <c r="L13" s="120">
        <v>0</v>
      </c>
      <c r="M13" s="120">
        <v>6.9594821205889437E-3</v>
      </c>
      <c r="N13" s="120">
        <v>6.5461714193486122E-3</v>
      </c>
      <c r="O13" s="120">
        <v>0.47779559490507723</v>
      </c>
      <c r="P13" s="120">
        <v>4.5105603345699293E-3</v>
      </c>
      <c r="Q13" s="120">
        <v>2.8420107113427278E-2</v>
      </c>
      <c r="R13" s="120">
        <v>3.4026941302820871E-3</v>
      </c>
      <c r="S13" s="120">
        <v>1.3277070715915947E-2</v>
      </c>
      <c r="T13" s="120">
        <v>1.229347511224425E-3</v>
      </c>
      <c r="U13" s="120">
        <v>4.4507425585948142E-3</v>
      </c>
      <c r="V13" s="120">
        <v>1.4349532548067264E-3</v>
      </c>
      <c r="W13" s="120">
        <v>0.10169924497097438</v>
      </c>
      <c r="X13" s="120">
        <v>5.1828168947446199E-2</v>
      </c>
      <c r="Y13" s="120">
        <v>0</v>
      </c>
      <c r="Z13" s="120">
        <v>0</v>
      </c>
      <c r="AA13" s="120">
        <v>0.21055895544610612</v>
      </c>
      <c r="AB13" s="120">
        <v>0</v>
      </c>
      <c r="AC13" s="120">
        <v>0.26399821646405791</v>
      </c>
      <c r="AD13" s="120">
        <v>0.29639782180089497</v>
      </c>
      <c r="AE13" s="120">
        <v>5.2563535747308494E-2</v>
      </c>
      <c r="AF13" s="120">
        <v>2.1807389183914866E-2</v>
      </c>
      <c r="AG13" s="120">
        <v>0.11116320137996405</v>
      </c>
      <c r="AH13" s="120">
        <v>0</v>
      </c>
      <c r="AI13" s="120">
        <v>0</v>
      </c>
      <c r="AJ13" s="120">
        <v>0</v>
      </c>
      <c r="AK13" s="120">
        <v>0.24987014906960217</v>
      </c>
      <c r="AL13" s="124">
        <v>6.6495498628175052E-3</v>
      </c>
      <c r="AM13" s="78"/>
      <c r="AN13" s="126">
        <f t="shared" si="1"/>
        <v>3</v>
      </c>
      <c r="AO13" s="127">
        <f t="shared" si="1"/>
        <v>42214</v>
      </c>
      <c r="AP13" s="128">
        <f t="shared" si="1"/>
        <v>0.41180555555555554</v>
      </c>
      <c r="AQ13" s="127">
        <f t="shared" si="1"/>
        <v>42215</v>
      </c>
      <c r="AR13" s="128">
        <f t="shared" si="1"/>
        <v>0.4055555555555555</v>
      </c>
      <c r="AS13" s="129">
        <f t="shared" si="2"/>
        <v>8.642191151117375</v>
      </c>
      <c r="AT13" s="132">
        <f t="shared" si="3"/>
        <v>25.358139747462729</v>
      </c>
      <c r="AU13" s="122">
        <f t="shared" si="4"/>
        <v>0</v>
      </c>
      <c r="AV13" s="131">
        <f t="shared" si="5"/>
        <v>113.41815402063928</v>
      </c>
      <c r="AW13" s="132">
        <f t="shared" si="6"/>
        <v>87.270347407133315</v>
      </c>
      <c r="AX13" s="132">
        <f t="shared" si="7"/>
        <v>14.012158262453669</v>
      </c>
      <c r="AY13" s="132">
        <f t="shared" si="8"/>
        <v>8.7069452827345156E-2</v>
      </c>
      <c r="AZ13" s="133">
        <f t="shared" si="9"/>
        <v>195.92580675299132</v>
      </c>
      <c r="BA13" s="133">
        <f t="shared" si="10"/>
        <v>8.126599018324816</v>
      </c>
      <c r="BB13" s="133">
        <f t="shared" si="11"/>
        <v>2.3010901239207775</v>
      </c>
      <c r="BC13" s="133">
        <f t="shared" si="12"/>
        <v>0.92644884128102423</v>
      </c>
      <c r="BD13" s="134">
        <f t="shared" si="13"/>
        <v>9.3109533801334337</v>
      </c>
      <c r="BF13" s="139">
        <f t="shared" si="14"/>
        <v>23.371753420155613</v>
      </c>
      <c r="BG13" s="140">
        <f t="shared" si="15"/>
        <v>1.8762885534674461</v>
      </c>
      <c r="BH13" s="140">
        <f t="shared" si="16"/>
        <v>1.1658976057555189E-2</v>
      </c>
      <c r="BI13" s="140">
        <f t="shared" si="17"/>
        <v>26.235312337611269</v>
      </c>
      <c r="BJ13" s="140">
        <f t="shared" si="18"/>
        <v>1.0881867326291947</v>
      </c>
      <c r="BK13" s="140">
        <f t="shared" si="19"/>
        <v>0.30812591316346605</v>
      </c>
      <c r="BL13" s="140">
        <f t="shared" si="20"/>
        <v>0.2480089887983625</v>
      </c>
      <c r="BM13" s="140">
        <f t="shared" si="21"/>
        <v>2.4885766478806479</v>
      </c>
      <c r="BN13" s="140">
        <f t="shared" si="22"/>
        <v>25.259700949680614</v>
      </c>
      <c r="BO13" s="140">
        <f t="shared" si="23"/>
        <v>30.368210620082937</v>
      </c>
      <c r="BP13" s="140">
        <f t="shared" si="24"/>
        <v>55.627911569763555</v>
      </c>
      <c r="BQ13" s="140">
        <f t="shared" si="25"/>
        <v>9.1833569268472122</v>
      </c>
      <c r="BR13" s="140">
        <f t="shared" si="26"/>
        <v>15</v>
      </c>
      <c r="BS13" s="141" t="str">
        <f t="shared" si="27"/>
        <v>○</v>
      </c>
    </row>
    <row r="14" spans="1:71" s="72" customFormat="1" ht="15" customHeight="1" x14ac:dyDescent="0.3">
      <c r="A14" s="117">
        <v>4</v>
      </c>
      <c r="B14" s="523">
        <v>42215</v>
      </c>
      <c r="C14" s="524">
        <v>0.41319444444444442</v>
      </c>
      <c r="D14" s="523">
        <v>42216</v>
      </c>
      <c r="E14" s="119">
        <v>0.40902777777777777</v>
      </c>
      <c r="F14" s="120">
        <v>27.675000000000001</v>
      </c>
      <c r="G14" s="121">
        <v>2.747953308709608</v>
      </c>
      <c r="H14" s="122">
        <f t="shared" si="0"/>
        <v>2.6778093271868801</v>
      </c>
      <c r="I14" s="123">
        <v>1.6186828538306435</v>
      </c>
      <c r="J14" s="120">
        <v>0</v>
      </c>
      <c r="K14" s="120">
        <v>0.11179123718851838</v>
      </c>
      <c r="L14" s="120">
        <v>0</v>
      </c>
      <c r="M14" s="120">
        <v>1.4858998983974334E-2</v>
      </c>
      <c r="N14" s="120">
        <v>6.5461714193486122E-3</v>
      </c>
      <c r="O14" s="120">
        <v>0.63894410615061215</v>
      </c>
      <c r="P14" s="120">
        <v>4.5105603345699293E-3</v>
      </c>
      <c r="Q14" s="120">
        <v>4.4253400258012852E-2</v>
      </c>
      <c r="R14" s="120">
        <v>3.4026941302820871E-3</v>
      </c>
      <c r="S14" s="120">
        <v>1.9255290878368872E-2</v>
      </c>
      <c r="T14" s="120">
        <v>1.229347511224425E-3</v>
      </c>
      <c r="U14" s="120">
        <v>6.5574072030337308E-3</v>
      </c>
      <c r="V14" s="120">
        <v>1.4349532548067264E-3</v>
      </c>
      <c r="W14" s="120">
        <v>2.5243405324052288E-2</v>
      </c>
      <c r="X14" s="120">
        <v>5.1828168947446199E-2</v>
      </c>
      <c r="Y14" s="120">
        <v>0</v>
      </c>
      <c r="Z14" s="120">
        <v>0</v>
      </c>
      <c r="AA14" s="120">
        <v>0.30869218533264314</v>
      </c>
      <c r="AB14" s="120">
        <v>0</v>
      </c>
      <c r="AC14" s="120">
        <v>0.2844784619587602</v>
      </c>
      <c r="AD14" s="120">
        <v>0.29639782180089497</v>
      </c>
      <c r="AE14" s="120">
        <v>-6.8797249695495138E-4</v>
      </c>
      <c r="AF14" s="120">
        <v>2.1807389183914866E-2</v>
      </c>
      <c r="AG14" s="120">
        <v>0.11192738904914948</v>
      </c>
      <c r="AH14" s="120">
        <v>0</v>
      </c>
      <c r="AI14" s="120">
        <v>0</v>
      </c>
      <c r="AJ14" s="120">
        <v>0</v>
      </c>
      <c r="AK14" s="120">
        <v>0.37451464289636871</v>
      </c>
      <c r="AL14" s="124">
        <v>6.6495498628175052E-3</v>
      </c>
      <c r="AM14" s="78"/>
      <c r="AN14" s="126">
        <f t="shared" si="1"/>
        <v>4</v>
      </c>
      <c r="AO14" s="127">
        <f t="shared" si="1"/>
        <v>42215</v>
      </c>
      <c r="AP14" s="128">
        <f t="shared" si="1"/>
        <v>0.41319444444444442</v>
      </c>
      <c r="AQ14" s="127">
        <f t="shared" si="1"/>
        <v>42216</v>
      </c>
      <c r="AR14" s="128">
        <f t="shared" si="1"/>
        <v>0.40902777777777777</v>
      </c>
      <c r="AS14" s="129">
        <f t="shared" si="2"/>
        <v>8.7025020936011721</v>
      </c>
      <c r="AT14" s="132">
        <f t="shared" si="3"/>
        <v>37.180416429320339</v>
      </c>
      <c r="AU14" s="122">
        <f t="shared" si="4"/>
        <v>0</v>
      </c>
      <c r="AV14" s="131">
        <f t="shared" si="5"/>
        <v>142.98750404752141</v>
      </c>
      <c r="AW14" s="132">
        <f t="shared" si="6"/>
        <v>125.85472639008671</v>
      </c>
      <c r="AX14" s="132">
        <f t="shared" si="7"/>
        <v>13.464690553598235</v>
      </c>
      <c r="AY14" s="132">
        <f t="shared" si="8"/>
        <v>1.751390050181606</v>
      </c>
      <c r="AZ14" s="133">
        <f t="shared" si="9"/>
        <v>262.66363541748285</v>
      </c>
      <c r="BA14" s="133">
        <f t="shared" si="10"/>
        <v>13.271222866033934</v>
      </c>
      <c r="BB14" s="133">
        <f t="shared" si="11"/>
        <v>3.4432740584745249</v>
      </c>
      <c r="BC14" s="133">
        <f t="shared" si="12"/>
        <v>1.5737779261501195</v>
      </c>
      <c r="BD14" s="134">
        <f t="shared" si="13"/>
        <v>-4.9639015282917871</v>
      </c>
      <c r="BF14" s="139">
        <f t="shared" si="14"/>
        <v>33.7014960197927</v>
      </c>
      <c r="BG14" s="140">
        <f t="shared" si="15"/>
        <v>1.8027936976055214</v>
      </c>
      <c r="BH14" s="140">
        <f t="shared" si="16"/>
        <v>0.23449443059593011</v>
      </c>
      <c r="BI14" s="140">
        <f t="shared" si="17"/>
        <v>35.168156641687482</v>
      </c>
      <c r="BJ14" s="140">
        <f t="shared" si="18"/>
        <v>1.7768902186920732</v>
      </c>
      <c r="BK14" s="140">
        <f t="shared" si="19"/>
        <v>0.46102156949218526</v>
      </c>
      <c r="BL14" s="140">
        <f t="shared" si="20"/>
        <v>0.42125443653182604</v>
      </c>
      <c r="BM14" s="140">
        <f t="shared" si="21"/>
        <v>-1.3265850111474009</v>
      </c>
      <c r="BN14" s="140">
        <f t="shared" si="22"/>
        <v>35.738784147994153</v>
      </c>
      <c r="BO14" s="140">
        <f t="shared" si="23"/>
        <v>36.500737855256162</v>
      </c>
      <c r="BP14" s="140">
        <f t="shared" si="24"/>
        <v>72.239522003250315</v>
      </c>
      <c r="BQ14" s="140">
        <f t="shared" si="25"/>
        <v>1.0547601730085174</v>
      </c>
      <c r="BR14" s="140">
        <f t="shared" si="26"/>
        <v>15</v>
      </c>
      <c r="BS14" s="141" t="str">
        <f t="shared" si="27"/>
        <v>○</v>
      </c>
    </row>
    <row r="15" spans="1:71" s="72" customFormat="1" ht="15" customHeight="1" x14ac:dyDescent="0.3">
      <c r="A15" s="117">
        <v>5</v>
      </c>
      <c r="B15" s="523">
        <v>42216</v>
      </c>
      <c r="C15" s="524">
        <v>0.41944444444444445</v>
      </c>
      <c r="D15" s="523">
        <v>42217</v>
      </c>
      <c r="E15" s="119">
        <v>0.40416666666666662</v>
      </c>
      <c r="F15" s="120">
        <v>28.920833333333331</v>
      </c>
      <c r="G15" s="121">
        <v>2.7165371816529067</v>
      </c>
      <c r="H15" s="122">
        <f t="shared" si="0"/>
        <v>2.6362718512556049</v>
      </c>
      <c r="I15" s="123">
        <v>1.6235587353386436</v>
      </c>
      <c r="J15" s="120">
        <v>0</v>
      </c>
      <c r="K15" s="120">
        <v>0.10412549849519039</v>
      </c>
      <c r="L15" s="120">
        <v>0</v>
      </c>
      <c r="M15" s="120">
        <v>3.5024356728905739E-3</v>
      </c>
      <c r="N15" s="120">
        <v>6.5461714193486122E-3</v>
      </c>
      <c r="O15" s="120">
        <v>0.65471882565870088</v>
      </c>
      <c r="P15" s="120">
        <v>4.5105603345699293E-3</v>
      </c>
      <c r="Q15" s="120">
        <v>2.8034737250953994E-2</v>
      </c>
      <c r="R15" s="120">
        <v>3.4026941302820871E-3</v>
      </c>
      <c r="S15" s="120">
        <v>1.9923480718437903E-2</v>
      </c>
      <c r="T15" s="120">
        <v>1.229347511224425E-3</v>
      </c>
      <c r="U15" s="120">
        <v>5.6287339239969453E-3</v>
      </c>
      <c r="V15" s="120">
        <v>1.4349532548067264E-3</v>
      </c>
      <c r="W15" s="120">
        <v>1.5259487238206922E-2</v>
      </c>
      <c r="X15" s="120">
        <v>5.1828168947446199E-2</v>
      </c>
      <c r="Y15" s="120">
        <v>0</v>
      </c>
      <c r="Z15" s="120">
        <v>0</v>
      </c>
      <c r="AA15" s="120">
        <v>0.32423962775510462</v>
      </c>
      <c r="AB15" s="120">
        <v>0</v>
      </c>
      <c r="AC15" s="120">
        <v>0.30224252066169749</v>
      </c>
      <c r="AD15" s="120">
        <v>0.29639782180089497</v>
      </c>
      <c r="AE15" s="120">
        <v>0.13457602373241026</v>
      </c>
      <c r="AF15" s="120">
        <v>2.1807389183914866E-2</v>
      </c>
      <c r="AG15" s="120">
        <v>0.12224539104523777</v>
      </c>
      <c r="AH15" s="120">
        <v>0</v>
      </c>
      <c r="AI15" s="120">
        <v>0</v>
      </c>
      <c r="AJ15" s="120">
        <v>0</v>
      </c>
      <c r="AK15" s="120">
        <v>0.41062300384117595</v>
      </c>
      <c r="AL15" s="124">
        <v>6.6495498628175052E-3</v>
      </c>
      <c r="AM15" s="78"/>
      <c r="AN15" s="126">
        <f t="shared" si="1"/>
        <v>5</v>
      </c>
      <c r="AO15" s="127">
        <f t="shared" si="1"/>
        <v>42216</v>
      </c>
      <c r="AP15" s="128">
        <f t="shared" si="1"/>
        <v>0.41944444444444445</v>
      </c>
      <c r="AQ15" s="127">
        <f t="shared" si="1"/>
        <v>42217</v>
      </c>
      <c r="AR15" s="128">
        <f t="shared" si="1"/>
        <v>0.40416666666666662</v>
      </c>
      <c r="AS15" s="129">
        <f t="shared" si="2"/>
        <v>9.6544984017808453</v>
      </c>
      <c r="AT15" s="132">
        <f t="shared" si="3"/>
        <v>39.668352514939969</v>
      </c>
      <c r="AU15" s="122">
        <f t="shared" si="4"/>
        <v>0</v>
      </c>
      <c r="AV15" s="131">
        <f t="shared" si="5"/>
        <v>217.30869619436453</v>
      </c>
      <c r="AW15" s="132">
        <f t="shared" si="6"/>
        <v>128.22279090852393</v>
      </c>
      <c r="AX15" s="132">
        <f t="shared" si="7"/>
        <v>12.738994948577918</v>
      </c>
      <c r="AY15" s="132">
        <f t="shared" si="8"/>
        <v>-0.65137413350039286</v>
      </c>
      <c r="AZ15" s="133">
        <f t="shared" si="9"/>
        <v>273.43604000827105</v>
      </c>
      <c r="BA15" s="133">
        <f t="shared" si="10"/>
        <v>8.1283288949413404</v>
      </c>
      <c r="BB15" s="133">
        <f t="shared" si="11"/>
        <v>3.6271739083826633</v>
      </c>
      <c r="BC15" s="133">
        <f t="shared" si="12"/>
        <v>1.3087616417286541</v>
      </c>
      <c r="BD15" s="134">
        <f t="shared" si="13"/>
        <v>-6.9356811005326193</v>
      </c>
      <c r="BF15" s="139">
        <f t="shared" si="14"/>
        <v>33.803013436157478</v>
      </c>
      <c r="BG15" s="140">
        <f t="shared" si="15"/>
        <v>1.6791726898111656</v>
      </c>
      <c r="BH15" s="140">
        <f t="shared" si="16"/>
        <v>-8.5859964639154809E-2</v>
      </c>
      <c r="BI15" s="140">
        <f t="shared" si="17"/>
        <v>36.042586769630319</v>
      </c>
      <c r="BJ15" s="140">
        <f t="shared" si="18"/>
        <v>1.0714242331740718</v>
      </c>
      <c r="BK15" s="140">
        <f t="shared" si="19"/>
        <v>0.47811082371389968</v>
      </c>
      <c r="BL15" s="140">
        <f t="shared" si="20"/>
        <v>0.34488327871630087</v>
      </c>
      <c r="BM15" s="140">
        <f t="shared" si="21"/>
        <v>-1.8247845164291057</v>
      </c>
      <c r="BN15" s="140">
        <f t="shared" si="22"/>
        <v>35.39632616132949</v>
      </c>
      <c r="BO15" s="140">
        <f t="shared" si="23"/>
        <v>36.112220588805485</v>
      </c>
      <c r="BP15" s="140">
        <f t="shared" si="24"/>
        <v>71.508546750134968</v>
      </c>
      <c r="BQ15" s="140">
        <f t="shared" si="25"/>
        <v>1.0011312773247534</v>
      </c>
      <c r="BR15" s="140">
        <f t="shared" si="26"/>
        <v>15</v>
      </c>
      <c r="BS15" s="141" t="str">
        <f t="shared" si="27"/>
        <v>○</v>
      </c>
    </row>
    <row r="16" spans="1:71" s="72" customFormat="1" ht="15" customHeight="1" x14ac:dyDescent="0.3">
      <c r="A16" s="117">
        <v>6</v>
      </c>
      <c r="B16" s="523">
        <v>42217</v>
      </c>
      <c r="C16" s="524">
        <v>0.41250000000000003</v>
      </c>
      <c r="D16" s="523">
        <v>42218</v>
      </c>
      <c r="E16" s="119">
        <v>0.3979166666666667</v>
      </c>
      <c r="F16" s="120">
        <v>28.541666666666668</v>
      </c>
      <c r="G16" s="121">
        <v>2.7183570182811914</v>
      </c>
      <c r="H16" s="122">
        <f t="shared" si="0"/>
        <v>2.6413550576970204</v>
      </c>
      <c r="I16" s="123">
        <v>1.1806086992123677</v>
      </c>
      <c r="J16" s="120">
        <v>0</v>
      </c>
      <c r="K16" s="120">
        <v>0.12624865365428278</v>
      </c>
      <c r="L16" s="120">
        <v>0</v>
      </c>
      <c r="M16" s="120">
        <v>1.3253952369447364E-2</v>
      </c>
      <c r="N16" s="120">
        <v>6.5461714193486122E-3</v>
      </c>
      <c r="O16" s="120">
        <v>0.46672860640398584</v>
      </c>
      <c r="P16" s="120">
        <v>4.5105603345699293E-3</v>
      </c>
      <c r="Q16" s="120">
        <v>2.2483825580177939E-2</v>
      </c>
      <c r="R16" s="120">
        <v>3.4026941302820871E-3</v>
      </c>
      <c r="S16" s="120">
        <v>3.4066132364826682E-2</v>
      </c>
      <c r="T16" s="120">
        <v>1.229347511224425E-3</v>
      </c>
      <c r="U16" s="120">
        <v>5.8764907229329963E-3</v>
      </c>
      <c r="V16" s="120">
        <v>1.4349532548067264E-3</v>
      </c>
      <c r="W16" s="120">
        <v>9.302218302818277E-2</v>
      </c>
      <c r="X16" s="120">
        <v>5.1828168947446199E-2</v>
      </c>
      <c r="Y16" s="120">
        <v>0</v>
      </c>
      <c r="Z16" s="120">
        <v>0</v>
      </c>
      <c r="AA16" s="120">
        <v>0.32296132458770532</v>
      </c>
      <c r="AB16" s="120">
        <v>0</v>
      </c>
      <c r="AC16" s="120">
        <v>0.28711148493989352</v>
      </c>
      <c r="AD16" s="120">
        <v>0.29639782180089497</v>
      </c>
      <c r="AE16" s="120">
        <v>0.21041668887971343</v>
      </c>
      <c r="AF16" s="120">
        <v>2.1807389183914866E-2</v>
      </c>
      <c r="AG16" s="120">
        <v>0.1282717636483271</v>
      </c>
      <c r="AH16" s="120">
        <v>0</v>
      </c>
      <c r="AI16" s="120">
        <v>0</v>
      </c>
      <c r="AJ16" s="120">
        <v>0</v>
      </c>
      <c r="AK16" s="120">
        <v>0.35428680400182255</v>
      </c>
      <c r="AL16" s="124">
        <v>6.6495498628175052E-3</v>
      </c>
      <c r="AM16" s="78"/>
      <c r="AN16" s="126">
        <f t="shared" si="1"/>
        <v>6</v>
      </c>
      <c r="AO16" s="127">
        <f t="shared" si="1"/>
        <v>42217</v>
      </c>
      <c r="AP16" s="128">
        <f t="shared" si="1"/>
        <v>0.41250000000000003</v>
      </c>
      <c r="AQ16" s="127">
        <f t="shared" si="1"/>
        <v>42218</v>
      </c>
      <c r="AR16" s="128">
        <f t="shared" si="1"/>
        <v>0.3979166666666667</v>
      </c>
      <c r="AS16" s="129">
        <f t="shared" si="2"/>
        <v>10.110943773076492</v>
      </c>
      <c r="AT16" s="132">
        <f t="shared" si="3"/>
        <v>39.435921897404306</v>
      </c>
      <c r="AU16" s="122">
        <f t="shared" si="4"/>
        <v>0</v>
      </c>
      <c r="AV16" s="131">
        <f t="shared" si="5"/>
        <v>225.07703869923546</v>
      </c>
      <c r="AW16" s="132">
        <f t="shared" si="6"/>
        <v>93.060762838407484</v>
      </c>
      <c r="AX16" s="132">
        <f t="shared" si="7"/>
        <v>15.415876967679109</v>
      </c>
      <c r="AY16" s="132">
        <f t="shared" si="8"/>
        <v>1.4327349126829323</v>
      </c>
      <c r="AZ16" s="133">
        <f t="shared" si="9"/>
        <v>194.00529159335147</v>
      </c>
      <c r="BA16" s="133">
        <f t="shared" si="10"/>
        <v>6.2844657499517718</v>
      </c>
      <c r="BB16" s="133">
        <f t="shared" si="11"/>
        <v>6.3589744737598561</v>
      </c>
      <c r="BC16" s="133">
        <f t="shared" si="12"/>
        <v>1.3834121411102895</v>
      </c>
      <c r="BD16" s="134">
        <f t="shared" si="13"/>
        <v>7.7978941075520067</v>
      </c>
      <c r="BF16" s="139">
        <f t="shared" si="14"/>
        <v>24.580651659637052</v>
      </c>
      <c r="BG16" s="140">
        <f t="shared" si="15"/>
        <v>2.035940229870711</v>
      </c>
      <c r="BH16" s="140">
        <f t="shared" si="16"/>
        <v>0.18921808039770807</v>
      </c>
      <c r="BI16" s="140">
        <f t="shared" si="17"/>
        <v>25.62184290850421</v>
      </c>
      <c r="BJ16" s="140">
        <f t="shared" si="18"/>
        <v>0.82997526967794055</v>
      </c>
      <c r="BK16" s="140">
        <f t="shared" si="19"/>
        <v>0.83981546940159235</v>
      </c>
      <c r="BL16" s="140">
        <f t="shared" si="20"/>
        <v>0.36525801547091041</v>
      </c>
      <c r="BM16" s="140">
        <f t="shared" si="21"/>
        <v>2.0555895249868548</v>
      </c>
      <c r="BN16" s="140">
        <f t="shared" si="22"/>
        <v>26.805809969905471</v>
      </c>
      <c r="BO16" s="140">
        <f t="shared" si="23"/>
        <v>29.712481188041508</v>
      </c>
      <c r="BP16" s="140">
        <f t="shared" si="24"/>
        <v>56.518291157946976</v>
      </c>
      <c r="BQ16" s="140">
        <f t="shared" si="25"/>
        <v>5.1428858845236558</v>
      </c>
      <c r="BR16" s="140">
        <f t="shared" si="26"/>
        <v>15</v>
      </c>
      <c r="BS16" s="141" t="str">
        <f t="shared" si="27"/>
        <v>○</v>
      </c>
    </row>
    <row r="17" spans="1:72" s="77" customFormat="1" ht="15" customHeight="1" x14ac:dyDescent="0.3">
      <c r="A17" s="142">
        <v>7</v>
      </c>
      <c r="B17" s="525">
        <v>42218</v>
      </c>
      <c r="C17" s="526">
        <v>0.4055555555555555</v>
      </c>
      <c r="D17" s="525">
        <v>42219</v>
      </c>
      <c r="E17" s="144">
        <v>0.40763888888888888</v>
      </c>
      <c r="F17" s="146">
        <v>27.662500000000001</v>
      </c>
      <c r="G17" s="147">
        <v>2.7638529339883044</v>
      </c>
      <c r="H17" s="148">
        <f t="shared" si="0"/>
        <v>2.6934150739070324</v>
      </c>
      <c r="I17" s="149">
        <v>0.89105734523469904</v>
      </c>
      <c r="J17" s="146">
        <v>0</v>
      </c>
      <c r="K17" s="146">
        <v>9.4447292093040647E-2</v>
      </c>
      <c r="L17" s="146">
        <v>0</v>
      </c>
      <c r="M17" s="146">
        <v>1.3940315093817643E-2</v>
      </c>
      <c r="N17" s="146">
        <v>6.5461714193486122E-3</v>
      </c>
      <c r="O17" s="146">
        <v>0.37991678132887452</v>
      </c>
      <c r="P17" s="146">
        <v>4.5105603345699293E-3</v>
      </c>
      <c r="Q17" s="146">
        <v>1.466337989750697E-2</v>
      </c>
      <c r="R17" s="146">
        <v>3.4026941302820871E-3</v>
      </c>
      <c r="S17" s="146">
        <v>1.8238936753311015E-2</v>
      </c>
      <c r="T17" s="146">
        <v>1.229347511224425E-3</v>
      </c>
      <c r="U17" s="146">
        <v>3.9604007253322476E-3</v>
      </c>
      <c r="V17" s="146">
        <v>1.4349532548067264E-3</v>
      </c>
      <c r="W17" s="146">
        <v>1.581305446594098E-2</v>
      </c>
      <c r="X17" s="146">
        <v>5.1828168947446199E-2</v>
      </c>
      <c r="Y17" s="146">
        <v>0</v>
      </c>
      <c r="Z17" s="146">
        <v>0</v>
      </c>
      <c r="AA17" s="146">
        <v>0.21948813331651482</v>
      </c>
      <c r="AB17" s="146">
        <v>0</v>
      </c>
      <c r="AC17" s="146">
        <v>0.2833252173028899</v>
      </c>
      <c r="AD17" s="146">
        <v>0.29639782180089497</v>
      </c>
      <c r="AE17" s="146">
        <v>1.7481417430809838E-2</v>
      </c>
      <c r="AF17" s="146">
        <v>2.1807389183914866E-2</v>
      </c>
      <c r="AG17" s="146">
        <v>0.13612255354618188</v>
      </c>
      <c r="AH17" s="146">
        <v>0</v>
      </c>
      <c r="AI17" s="146">
        <v>0</v>
      </c>
      <c r="AJ17" s="146">
        <v>0</v>
      </c>
      <c r="AK17" s="146">
        <v>0.3143537466846299</v>
      </c>
      <c r="AL17" s="150">
        <v>6.6495498628175052E-3</v>
      </c>
      <c r="AN17" s="151">
        <f t="shared" si="1"/>
        <v>7</v>
      </c>
      <c r="AO17" s="152">
        <f t="shared" si="1"/>
        <v>42218</v>
      </c>
      <c r="AP17" s="153">
        <f t="shared" si="1"/>
        <v>0.4055555555555555</v>
      </c>
      <c r="AQ17" s="152">
        <f t="shared" si="1"/>
        <v>42219</v>
      </c>
      <c r="AR17" s="153">
        <f t="shared" si="1"/>
        <v>0.40763888888888888</v>
      </c>
      <c r="AS17" s="154">
        <f t="shared" si="2"/>
        <v>10.522385642160286</v>
      </c>
      <c r="AT17" s="132">
        <f t="shared" si="3"/>
        <v>26.283065837080343</v>
      </c>
      <c r="AU17" s="122">
        <f t="shared" si="4"/>
        <v>0</v>
      </c>
      <c r="AV17" s="156">
        <f t="shared" si="5"/>
        <v>124.87473575830734</v>
      </c>
      <c r="AW17" s="157">
        <f t="shared" si="6"/>
        <v>68.879467594310682</v>
      </c>
      <c r="AX17" s="157">
        <f t="shared" si="7"/>
        <v>11.309788637345735</v>
      </c>
      <c r="AY17" s="157">
        <f t="shared" si="8"/>
        <v>1.5488107517417078</v>
      </c>
      <c r="AZ17" s="158">
        <f t="shared" si="9"/>
        <v>154.52246989074999</v>
      </c>
      <c r="BA17" s="158">
        <f t="shared" si="10"/>
        <v>3.6370776869842452</v>
      </c>
      <c r="BB17" s="158">
        <f t="shared" si="11"/>
        <v>3.2303068477509576</v>
      </c>
      <c r="BC17" s="158">
        <f t="shared" si="12"/>
        <v>0.77140080910863174</v>
      </c>
      <c r="BD17" s="159">
        <f t="shared" si="13"/>
        <v>-6.6857713150877585</v>
      </c>
      <c r="BF17" s="139">
        <f t="shared" si="14"/>
        <v>18.552099630120736</v>
      </c>
      <c r="BG17" s="140">
        <f t="shared" si="15"/>
        <v>1.5230977599264739</v>
      </c>
      <c r="BH17" s="140">
        <f t="shared" si="16"/>
        <v>0.2085795112685199</v>
      </c>
      <c r="BI17" s="140">
        <f t="shared" si="17"/>
        <v>20.809657483054579</v>
      </c>
      <c r="BJ17" s="140">
        <f t="shared" si="18"/>
        <v>0.48980799335471442</v>
      </c>
      <c r="BK17" s="140">
        <f t="shared" si="19"/>
        <v>0.43502785785387693</v>
      </c>
      <c r="BL17" s="140">
        <f t="shared" si="20"/>
        <v>0.20768482487874354</v>
      </c>
      <c r="BM17" s="140">
        <f t="shared" si="21"/>
        <v>-1.7971614012727155</v>
      </c>
      <c r="BN17" s="140">
        <f t="shared" si="22"/>
        <v>20.283776901315733</v>
      </c>
      <c r="BO17" s="140">
        <f t="shared" si="23"/>
        <v>20.1450167578692</v>
      </c>
      <c r="BP17" s="140">
        <f t="shared" si="24"/>
        <v>40.428793659184933</v>
      </c>
      <c r="BQ17" s="140">
        <f t="shared" si="25"/>
        <v>-0.34322108301395682</v>
      </c>
      <c r="BR17" s="140">
        <f t="shared" si="26"/>
        <v>30</v>
      </c>
      <c r="BS17" s="141" t="str">
        <f t="shared" si="27"/>
        <v>○</v>
      </c>
    </row>
    <row r="18" spans="1:72" s="72" customFormat="1" ht="15" customHeight="1" x14ac:dyDescent="0.3">
      <c r="A18" s="117"/>
      <c r="B18" s="118"/>
      <c r="C18" s="119"/>
      <c r="D18" s="118"/>
      <c r="E18" s="119"/>
      <c r="F18" s="120"/>
      <c r="G18" s="121"/>
      <c r="H18" s="122"/>
      <c r="I18" s="12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4"/>
      <c r="AM18" s="78"/>
      <c r="AN18" s="126">
        <f t="shared" si="1"/>
        <v>0</v>
      </c>
      <c r="AO18" s="127">
        <f t="shared" si="1"/>
        <v>0</v>
      </c>
      <c r="AP18" s="128">
        <f t="shared" si="1"/>
        <v>0</v>
      </c>
      <c r="AQ18" s="127">
        <f t="shared" si="1"/>
        <v>0</v>
      </c>
      <c r="AR18" s="128">
        <f t="shared" si="1"/>
        <v>0</v>
      </c>
      <c r="AS18" s="160" t="e">
        <f t="shared" si="2"/>
        <v>#DIV/0!</v>
      </c>
      <c r="AT18" s="527" t="e">
        <f t="shared" si="3"/>
        <v>#DIV/0!</v>
      </c>
      <c r="AU18" s="527" t="e">
        <f t="shared" ref="AU18:AU38" si="28">1000/35.45*(AC18-AD18+AI18-AJ18)*20/H18</f>
        <v>#DIV/0!</v>
      </c>
      <c r="AV18" s="122" t="e">
        <f t="shared" si="5"/>
        <v>#DIV/0!</v>
      </c>
      <c r="AW18" s="122" t="e">
        <f t="shared" ref="AW18:AW24" si="29">1000/96.06*(I18-J18)*40/H18</f>
        <v>#DIV/0!</v>
      </c>
      <c r="AX18" s="122" t="e">
        <f t="shared" ref="AX18:AX24" si="30">1000/62.01*(K18-L18)*40/H18</f>
        <v>#DIV/0!</v>
      </c>
      <c r="AY18" s="122" t="e">
        <f t="shared" ref="AY18:AY24" si="31">1000/35.45*(M18-N18)*40/H18</f>
        <v>#DIV/0!</v>
      </c>
      <c r="AZ18" s="161" t="e">
        <f t="shared" ref="AZ18:AZ24" si="32">1000/18.04*(O18-P18)*40/H18</f>
        <v>#DIV/0!</v>
      </c>
      <c r="BA18" s="161" t="e">
        <f t="shared" ref="BA18:BA24" si="33">1000/22.99*(Q18-R18)*40/H18</f>
        <v>#DIV/0!</v>
      </c>
      <c r="BB18" s="161" t="e">
        <f t="shared" ref="BB18:BB24" si="34">1000/39.1*(S18-T18)*40/H18</f>
        <v>#DIV/0!</v>
      </c>
      <c r="BC18" s="161" t="e">
        <f t="shared" ref="BC18:BC24" si="35">1000/24.31*(U18-V18)*40/H18</f>
        <v>#DIV/0!</v>
      </c>
      <c r="BD18" s="162" t="e">
        <f t="shared" ref="BD18:BD24" si="36">1000/40*(W18-X18)*40/H18</f>
        <v>#DIV/0!</v>
      </c>
      <c r="BF18" s="163">
        <f t="shared" si="14"/>
        <v>0</v>
      </c>
      <c r="BG18" s="164">
        <f t="shared" si="15"/>
        <v>0</v>
      </c>
      <c r="BH18" s="164">
        <f t="shared" si="16"/>
        <v>0</v>
      </c>
      <c r="BI18" s="164">
        <f t="shared" si="17"/>
        <v>0</v>
      </c>
      <c r="BJ18" s="164">
        <f t="shared" si="18"/>
        <v>0</v>
      </c>
      <c r="BK18" s="164">
        <f t="shared" si="19"/>
        <v>0</v>
      </c>
      <c r="BL18" s="164">
        <f t="shared" si="20"/>
        <v>0</v>
      </c>
      <c r="BM18" s="164">
        <f t="shared" si="21"/>
        <v>0</v>
      </c>
      <c r="BN18" s="164">
        <f t="shared" si="22"/>
        <v>0</v>
      </c>
      <c r="BO18" s="164">
        <f t="shared" si="23"/>
        <v>0</v>
      </c>
      <c r="BP18" s="164">
        <f t="shared" si="24"/>
        <v>0</v>
      </c>
      <c r="BQ18" s="164" t="e">
        <f t="shared" si="25"/>
        <v>#DIV/0!</v>
      </c>
      <c r="BR18" s="164">
        <f t="shared" si="26"/>
        <v>30</v>
      </c>
      <c r="BS18" s="165" t="e">
        <f t="shared" si="27"/>
        <v>#DIV/0!</v>
      </c>
    </row>
    <row r="19" spans="1:72" s="72" customFormat="1" ht="15" customHeight="1" x14ac:dyDescent="0.3">
      <c r="A19" s="117"/>
      <c r="B19" s="118"/>
      <c r="C19" s="119"/>
      <c r="D19" s="118"/>
      <c r="E19" s="119"/>
      <c r="F19" s="120"/>
      <c r="G19" s="121"/>
      <c r="H19" s="122"/>
      <c r="I19" s="12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4"/>
      <c r="AM19" s="78"/>
      <c r="AN19" s="126">
        <f t="shared" si="1"/>
        <v>0</v>
      </c>
      <c r="AO19" s="127">
        <f t="shared" si="1"/>
        <v>0</v>
      </c>
      <c r="AP19" s="128">
        <f t="shared" si="1"/>
        <v>0</v>
      </c>
      <c r="AQ19" s="127">
        <f t="shared" si="1"/>
        <v>0</v>
      </c>
      <c r="AR19" s="128">
        <f t="shared" si="1"/>
        <v>0</v>
      </c>
      <c r="AS19" s="160" t="e">
        <f t="shared" si="2"/>
        <v>#DIV/0!</v>
      </c>
      <c r="AT19" s="122" t="e">
        <f t="shared" si="3"/>
        <v>#DIV/0!</v>
      </c>
      <c r="AU19" s="122" t="e">
        <f t="shared" si="28"/>
        <v>#DIV/0!</v>
      </c>
      <c r="AV19" s="122" t="e">
        <f t="shared" si="5"/>
        <v>#DIV/0!</v>
      </c>
      <c r="AW19" s="122" t="e">
        <f t="shared" si="29"/>
        <v>#DIV/0!</v>
      </c>
      <c r="AX19" s="122" t="e">
        <f t="shared" si="30"/>
        <v>#DIV/0!</v>
      </c>
      <c r="AY19" s="122" t="e">
        <f t="shared" si="31"/>
        <v>#DIV/0!</v>
      </c>
      <c r="AZ19" s="161" t="e">
        <f t="shared" si="32"/>
        <v>#DIV/0!</v>
      </c>
      <c r="BA19" s="161" t="e">
        <f t="shared" si="33"/>
        <v>#DIV/0!</v>
      </c>
      <c r="BB19" s="161" t="e">
        <f t="shared" si="34"/>
        <v>#DIV/0!</v>
      </c>
      <c r="BC19" s="161" t="e">
        <f t="shared" si="35"/>
        <v>#DIV/0!</v>
      </c>
      <c r="BD19" s="162" t="e">
        <f t="shared" si="36"/>
        <v>#DIV/0!</v>
      </c>
      <c r="BF19" s="139">
        <f t="shared" si="14"/>
        <v>0</v>
      </c>
      <c r="BG19" s="140">
        <f t="shared" si="15"/>
        <v>0</v>
      </c>
      <c r="BH19" s="140">
        <f t="shared" si="16"/>
        <v>0</v>
      </c>
      <c r="BI19" s="140">
        <f t="shared" si="17"/>
        <v>0</v>
      </c>
      <c r="BJ19" s="140">
        <f t="shared" si="18"/>
        <v>0</v>
      </c>
      <c r="BK19" s="140">
        <f t="shared" si="19"/>
        <v>0</v>
      </c>
      <c r="BL19" s="140">
        <f t="shared" si="20"/>
        <v>0</v>
      </c>
      <c r="BM19" s="140">
        <f t="shared" si="21"/>
        <v>0</v>
      </c>
      <c r="BN19" s="140">
        <f t="shared" si="22"/>
        <v>0</v>
      </c>
      <c r="BO19" s="140">
        <f t="shared" si="23"/>
        <v>0</v>
      </c>
      <c r="BP19" s="140">
        <f t="shared" si="24"/>
        <v>0</v>
      </c>
      <c r="BQ19" s="140" t="e">
        <f t="shared" si="25"/>
        <v>#DIV/0!</v>
      </c>
      <c r="BR19" s="140">
        <f t="shared" si="26"/>
        <v>30</v>
      </c>
      <c r="BS19" s="141" t="e">
        <f t="shared" si="27"/>
        <v>#DIV/0!</v>
      </c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>
        <f t="shared" si="1"/>
        <v>0</v>
      </c>
      <c r="AO20" s="127">
        <f t="shared" si="1"/>
        <v>0</v>
      </c>
      <c r="AP20" s="128">
        <f t="shared" si="1"/>
        <v>0</v>
      </c>
      <c r="AQ20" s="127">
        <f t="shared" si="1"/>
        <v>0</v>
      </c>
      <c r="AR20" s="128">
        <f t="shared" si="1"/>
        <v>0</v>
      </c>
      <c r="AS20" s="160" t="e">
        <f t="shared" si="2"/>
        <v>#DIV/0!</v>
      </c>
      <c r="AT20" s="122" t="e">
        <f t="shared" si="3"/>
        <v>#DIV/0!</v>
      </c>
      <c r="AU20" s="122" t="e">
        <f t="shared" si="28"/>
        <v>#DIV/0!</v>
      </c>
      <c r="AV20" s="122" t="e">
        <f t="shared" si="5"/>
        <v>#DIV/0!</v>
      </c>
      <c r="AW20" s="122" t="e">
        <f t="shared" si="29"/>
        <v>#DIV/0!</v>
      </c>
      <c r="AX20" s="122" t="e">
        <f t="shared" si="30"/>
        <v>#DIV/0!</v>
      </c>
      <c r="AY20" s="122" t="e">
        <f t="shared" si="31"/>
        <v>#DIV/0!</v>
      </c>
      <c r="AZ20" s="161" t="e">
        <f t="shared" si="32"/>
        <v>#DIV/0!</v>
      </c>
      <c r="BA20" s="161" t="e">
        <f t="shared" si="33"/>
        <v>#DIV/0!</v>
      </c>
      <c r="BB20" s="161" t="e">
        <f t="shared" si="34"/>
        <v>#DIV/0!</v>
      </c>
      <c r="BC20" s="161" t="e">
        <f t="shared" si="35"/>
        <v>#DIV/0!</v>
      </c>
      <c r="BD20" s="162" t="e">
        <f t="shared" si="36"/>
        <v>#DIV/0!</v>
      </c>
      <c r="BF20" s="139">
        <f t="shared" si="14"/>
        <v>0</v>
      </c>
      <c r="BG20" s="140">
        <f t="shared" si="15"/>
        <v>0</v>
      </c>
      <c r="BH20" s="140">
        <f t="shared" si="16"/>
        <v>0</v>
      </c>
      <c r="BI20" s="140">
        <f t="shared" si="17"/>
        <v>0</v>
      </c>
      <c r="BJ20" s="140">
        <f t="shared" si="18"/>
        <v>0</v>
      </c>
      <c r="BK20" s="140">
        <f t="shared" si="19"/>
        <v>0</v>
      </c>
      <c r="BL20" s="140">
        <f t="shared" si="20"/>
        <v>0</v>
      </c>
      <c r="BM20" s="140">
        <f t="shared" si="21"/>
        <v>0</v>
      </c>
      <c r="BN20" s="140">
        <f t="shared" si="22"/>
        <v>0</v>
      </c>
      <c r="BO20" s="140">
        <f t="shared" si="23"/>
        <v>0</v>
      </c>
      <c r="BP20" s="140">
        <f t="shared" si="24"/>
        <v>0</v>
      </c>
      <c r="BQ20" s="140" t="e">
        <f t="shared" si="25"/>
        <v>#DIV/0!</v>
      </c>
      <c r="BR20" s="140">
        <f t="shared" si="26"/>
        <v>30</v>
      </c>
      <c r="BS20" s="141" t="e">
        <f t="shared" si="27"/>
        <v>#DIV/0!</v>
      </c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>
        <f t="shared" si="1"/>
        <v>0</v>
      </c>
      <c r="AO21" s="127">
        <f t="shared" si="1"/>
        <v>0</v>
      </c>
      <c r="AP21" s="128">
        <f t="shared" si="1"/>
        <v>0</v>
      </c>
      <c r="AQ21" s="127">
        <f t="shared" si="1"/>
        <v>0</v>
      </c>
      <c r="AR21" s="128">
        <f t="shared" si="1"/>
        <v>0</v>
      </c>
      <c r="AS21" s="160" t="e">
        <f t="shared" si="2"/>
        <v>#DIV/0!</v>
      </c>
      <c r="AT21" s="122" t="e">
        <f t="shared" si="3"/>
        <v>#DIV/0!</v>
      </c>
      <c r="AU21" s="122" t="e">
        <f t="shared" si="28"/>
        <v>#DIV/0!</v>
      </c>
      <c r="AV21" s="122" t="e">
        <f t="shared" si="5"/>
        <v>#DIV/0!</v>
      </c>
      <c r="AW21" s="122" t="e">
        <f t="shared" si="29"/>
        <v>#DIV/0!</v>
      </c>
      <c r="AX21" s="122" t="e">
        <f t="shared" si="30"/>
        <v>#DIV/0!</v>
      </c>
      <c r="AY21" s="122" t="e">
        <f t="shared" si="31"/>
        <v>#DIV/0!</v>
      </c>
      <c r="AZ21" s="161" t="e">
        <f t="shared" si="32"/>
        <v>#DIV/0!</v>
      </c>
      <c r="BA21" s="161" t="e">
        <f t="shared" si="33"/>
        <v>#DIV/0!</v>
      </c>
      <c r="BB21" s="161" t="e">
        <f t="shared" si="34"/>
        <v>#DIV/0!</v>
      </c>
      <c r="BC21" s="161" t="e">
        <f t="shared" si="35"/>
        <v>#DIV/0!</v>
      </c>
      <c r="BD21" s="162" t="e">
        <f t="shared" si="36"/>
        <v>#DIV/0!</v>
      </c>
      <c r="BF21" s="139">
        <f t="shared" si="14"/>
        <v>0</v>
      </c>
      <c r="BG21" s="140">
        <f t="shared" si="15"/>
        <v>0</v>
      </c>
      <c r="BH21" s="140">
        <f t="shared" si="16"/>
        <v>0</v>
      </c>
      <c r="BI21" s="140">
        <f t="shared" si="17"/>
        <v>0</v>
      </c>
      <c r="BJ21" s="140">
        <f t="shared" si="18"/>
        <v>0</v>
      </c>
      <c r="BK21" s="140">
        <f t="shared" si="19"/>
        <v>0</v>
      </c>
      <c r="BL21" s="140">
        <f t="shared" si="20"/>
        <v>0</v>
      </c>
      <c r="BM21" s="140">
        <f t="shared" si="21"/>
        <v>0</v>
      </c>
      <c r="BN21" s="140">
        <f t="shared" si="22"/>
        <v>0</v>
      </c>
      <c r="BO21" s="140">
        <f t="shared" si="23"/>
        <v>0</v>
      </c>
      <c r="BP21" s="140">
        <f t="shared" si="24"/>
        <v>0</v>
      </c>
      <c r="BQ21" s="140" t="e">
        <f t="shared" si="25"/>
        <v>#DIV/0!</v>
      </c>
      <c r="BR21" s="140">
        <f t="shared" si="26"/>
        <v>30</v>
      </c>
      <c r="BS21" s="141" t="e">
        <f t="shared" si="27"/>
        <v>#DIV/0!</v>
      </c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>
        <f t="shared" si="1"/>
        <v>0</v>
      </c>
      <c r="AO22" s="127">
        <f t="shared" si="1"/>
        <v>0</v>
      </c>
      <c r="AP22" s="128">
        <f t="shared" si="1"/>
        <v>0</v>
      </c>
      <c r="AQ22" s="127">
        <f t="shared" si="1"/>
        <v>0</v>
      </c>
      <c r="AR22" s="128">
        <f t="shared" si="1"/>
        <v>0</v>
      </c>
      <c r="AS22" s="160" t="e">
        <f t="shared" si="2"/>
        <v>#DIV/0!</v>
      </c>
      <c r="AT22" s="122" t="e">
        <f t="shared" si="3"/>
        <v>#DIV/0!</v>
      </c>
      <c r="AU22" s="122" t="e">
        <f t="shared" si="28"/>
        <v>#DIV/0!</v>
      </c>
      <c r="AV22" s="122" t="e">
        <f t="shared" si="5"/>
        <v>#DIV/0!</v>
      </c>
      <c r="AW22" s="122" t="e">
        <f t="shared" si="29"/>
        <v>#DIV/0!</v>
      </c>
      <c r="AX22" s="122" t="e">
        <f t="shared" si="30"/>
        <v>#DIV/0!</v>
      </c>
      <c r="AY22" s="122" t="e">
        <f t="shared" si="31"/>
        <v>#DIV/0!</v>
      </c>
      <c r="AZ22" s="161" t="e">
        <f t="shared" si="32"/>
        <v>#DIV/0!</v>
      </c>
      <c r="BA22" s="161" t="e">
        <f t="shared" si="33"/>
        <v>#DIV/0!</v>
      </c>
      <c r="BB22" s="161" t="e">
        <f t="shared" si="34"/>
        <v>#DIV/0!</v>
      </c>
      <c r="BC22" s="161" t="e">
        <f t="shared" si="35"/>
        <v>#DIV/0!</v>
      </c>
      <c r="BD22" s="162" t="e">
        <f t="shared" si="36"/>
        <v>#DIV/0!</v>
      </c>
      <c r="BF22" s="139">
        <f t="shared" si="14"/>
        <v>0</v>
      </c>
      <c r="BG22" s="140">
        <f t="shared" si="15"/>
        <v>0</v>
      </c>
      <c r="BH22" s="140">
        <f t="shared" si="16"/>
        <v>0</v>
      </c>
      <c r="BI22" s="140">
        <f t="shared" si="17"/>
        <v>0</v>
      </c>
      <c r="BJ22" s="140">
        <f t="shared" si="18"/>
        <v>0</v>
      </c>
      <c r="BK22" s="140">
        <f t="shared" si="19"/>
        <v>0</v>
      </c>
      <c r="BL22" s="140">
        <f t="shared" si="20"/>
        <v>0</v>
      </c>
      <c r="BM22" s="140">
        <f t="shared" si="21"/>
        <v>0</v>
      </c>
      <c r="BN22" s="140">
        <f t="shared" si="22"/>
        <v>0</v>
      </c>
      <c r="BO22" s="140">
        <f t="shared" si="23"/>
        <v>0</v>
      </c>
      <c r="BP22" s="140">
        <f t="shared" si="24"/>
        <v>0</v>
      </c>
      <c r="BQ22" s="140" t="e">
        <f t="shared" si="25"/>
        <v>#DIV/0!</v>
      </c>
      <c r="BR22" s="140">
        <f t="shared" si="26"/>
        <v>30</v>
      </c>
      <c r="BS22" s="141" t="e">
        <f t="shared" si="27"/>
        <v>#DIV/0!</v>
      </c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>
        <f t="shared" si="1"/>
        <v>0</v>
      </c>
      <c r="AO23" s="127">
        <f t="shared" si="1"/>
        <v>0</v>
      </c>
      <c r="AP23" s="128">
        <f t="shared" si="1"/>
        <v>0</v>
      </c>
      <c r="AQ23" s="127">
        <f t="shared" si="1"/>
        <v>0</v>
      </c>
      <c r="AR23" s="128">
        <f t="shared" si="1"/>
        <v>0</v>
      </c>
      <c r="AS23" s="160" t="e">
        <f t="shared" si="2"/>
        <v>#DIV/0!</v>
      </c>
      <c r="AT23" s="122" t="e">
        <f t="shared" si="3"/>
        <v>#DIV/0!</v>
      </c>
      <c r="AU23" s="122" t="e">
        <f t="shared" si="28"/>
        <v>#DIV/0!</v>
      </c>
      <c r="AV23" s="122" t="e">
        <f t="shared" si="5"/>
        <v>#DIV/0!</v>
      </c>
      <c r="AW23" s="122" t="e">
        <f t="shared" si="29"/>
        <v>#DIV/0!</v>
      </c>
      <c r="AX23" s="122" t="e">
        <f t="shared" si="30"/>
        <v>#DIV/0!</v>
      </c>
      <c r="AY23" s="122" t="e">
        <f t="shared" si="31"/>
        <v>#DIV/0!</v>
      </c>
      <c r="AZ23" s="161" t="e">
        <f t="shared" si="32"/>
        <v>#DIV/0!</v>
      </c>
      <c r="BA23" s="161" t="e">
        <f t="shared" si="33"/>
        <v>#DIV/0!</v>
      </c>
      <c r="BB23" s="161" t="e">
        <f t="shared" si="34"/>
        <v>#DIV/0!</v>
      </c>
      <c r="BC23" s="161" t="e">
        <f t="shared" si="35"/>
        <v>#DIV/0!</v>
      </c>
      <c r="BD23" s="162" t="e">
        <f t="shared" si="36"/>
        <v>#DIV/0!</v>
      </c>
      <c r="BF23" s="139">
        <f t="shared" si="14"/>
        <v>0</v>
      </c>
      <c r="BG23" s="140">
        <f t="shared" si="15"/>
        <v>0</v>
      </c>
      <c r="BH23" s="140">
        <f t="shared" si="16"/>
        <v>0</v>
      </c>
      <c r="BI23" s="140">
        <f t="shared" si="17"/>
        <v>0</v>
      </c>
      <c r="BJ23" s="140">
        <f t="shared" si="18"/>
        <v>0</v>
      </c>
      <c r="BK23" s="140">
        <f t="shared" si="19"/>
        <v>0</v>
      </c>
      <c r="BL23" s="140">
        <f t="shared" si="20"/>
        <v>0</v>
      </c>
      <c r="BM23" s="140">
        <f t="shared" si="21"/>
        <v>0</v>
      </c>
      <c r="BN23" s="140">
        <f t="shared" si="22"/>
        <v>0</v>
      </c>
      <c r="BO23" s="140">
        <f t="shared" si="23"/>
        <v>0</v>
      </c>
      <c r="BP23" s="140">
        <f t="shared" si="24"/>
        <v>0</v>
      </c>
      <c r="BQ23" s="140" t="e">
        <f t="shared" si="25"/>
        <v>#DIV/0!</v>
      </c>
      <c r="BR23" s="140">
        <f t="shared" si="26"/>
        <v>30</v>
      </c>
      <c r="BS23" s="141" t="e">
        <f t="shared" si="27"/>
        <v>#DIV/0!</v>
      </c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368"/>
      <c r="AN24" s="151">
        <f t="shared" si="1"/>
        <v>0</v>
      </c>
      <c r="AO24" s="152">
        <f t="shared" si="1"/>
        <v>0</v>
      </c>
      <c r="AP24" s="153">
        <f t="shared" si="1"/>
        <v>0</v>
      </c>
      <c r="AQ24" s="152">
        <f t="shared" si="1"/>
        <v>0</v>
      </c>
      <c r="AR24" s="153">
        <f t="shared" si="1"/>
        <v>0</v>
      </c>
      <c r="AS24" s="167" t="e">
        <f t="shared" si="2"/>
        <v>#DIV/0!</v>
      </c>
      <c r="AT24" s="168" t="e">
        <f t="shared" si="3"/>
        <v>#DIV/0!</v>
      </c>
      <c r="AU24" s="168" t="e">
        <f t="shared" si="28"/>
        <v>#DIV/0!</v>
      </c>
      <c r="AV24" s="168" t="e">
        <f t="shared" si="5"/>
        <v>#DIV/0!</v>
      </c>
      <c r="AW24" s="168" t="e">
        <f t="shared" si="29"/>
        <v>#DIV/0!</v>
      </c>
      <c r="AX24" s="168" t="e">
        <f t="shared" si="30"/>
        <v>#DIV/0!</v>
      </c>
      <c r="AY24" s="168" t="e">
        <f t="shared" si="31"/>
        <v>#DIV/0!</v>
      </c>
      <c r="AZ24" s="169" t="e">
        <f t="shared" si="32"/>
        <v>#DIV/0!</v>
      </c>
      <c r="BA24" s="169" t="e">
        <f t="shared" si="33"/>
        <v>#DIV/0!</v>
      </c>
      <c r="BB24" s="169" t="e">
        <f t="shared" si="34"/>
        <v>#DIV/0!</v>
      </c>
      <c r="BC24" s="169" t="e">
        <f t="shared" si="35"/>
        <v>#DIV/0!</v>
      </c>
      <c r="BD24" s="170" t="e">
        <f t="shared" si="36"/>
        <v>#DIV/0!</v>
      </c>
      <c r="BE24" s="369"/>
      <c r="BF24" s="172">
        <f t="shared" si="14"/>
        <v>0</v>
      </c>
      <c r="BG24" s="173">
        <f t="shared" si="15"/>
        <v>0</v>
      </c>
      <c r="BH24" s="173">
        <f t="shared" si="16"/>
        <v>0</v>
      </c>
      <c r="BI24" s="173">
        <f t="shared" si="17"/>
        <v>0</v>
      </c>
      <c r="BJ24" s="173">
        <f t="shared" si="18"/>
        <v>0</v>
      </c>
      <c r="BK24" s="173">
        <f t="shared" si="19"/>
        <v>0</v>
      </c>
      <c r="BL24" s="173">
        <f t="shared" si="20"/>
        <v>0</v>
      </c>
      <c r="BM24" s="173">
        <f t="shared" si="21"/>
        <v>0</v>
      </c>
      <c r="BN24" s="173">
        <f t="shared" si="22"/>
        <v>0</v>
      </c>
      <c r="BO24" s="173">
        <f t="shared" si="23"/>
        <v>0</v>
      </c>
      <c r="BP24" s="173">
        <f t="shared" si="24"/>
        <v>0</v>
      </c>
      <c r="BQ24" s="173" t="e">
        <f t="shared" si="25"/>
        <v>#DIV/0!</v>
      </c>
      <c r="BR24" s="173">
        <f t="shared" si="26"/>
        <v>30</v>
      </c>
      <c r="BS24" s="174" t="e">
        <f t="shared" si="27"/>
        <v>#DIV/0!</v>
      </c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>
        <f t="shared" si="1"/>
        <v>0</v>
      </c>
      <c r="AO25" s="127">
        <f t="shared" si="1"/>
        <v>0</v>
      </c>
      <c r="AP25" s="128">
        <f t="shared" si="1"/>
        <v>0</v>
      </c>
      <c r="AQ25" s="127">
        <f t="shared" si="1"/>
        <v>0</v>
      </c>
      <c r="AR25" s="128">
        <f t="shared" si="1"/>
        <v>0</v>
      </c>
      <c r="AS25" s="160" t="e">
        <f t="shared" si="2"/>
        <v>#DIV/0!</v>
      </c>
      <c r="AT25" s="122" t="e">
        <f t="shared" si="3"/>
        <v>#DIV/0!</v>
      </c>
      <c r="AU25" s="122" t="e">
        <f t="shared" si="28"/>
        <v>#DIV/0!</v>
      </c>
      <c r="AV25" s="122" t="e">
        <f t="shared" si="5"/>
        <v>#DIV/0!</v>
      </c>
      <c r="AW25" s="122" t="e">
        <f t="shared" ref="AW25:AW31" si="37">(I25-J25)*20/H25</f>
        <v>#DIV/0!</v>
      </c>
      <c r="AX25" s="122" t="e">
        <f t="shared" ref="AX25:AX31" si="38">(K25-L25)*20/H25</f>
        <v>#DIV/0!</v>
      </c>
      <c r="AY25" s="122" t="e">
        <f t="shared" ref="AY25:AY31" si="39">(M25-N25)*20/H25</f>
        <v>#DIV/0!</v>
      </c>
      <c r="AZ25" s="161" t="e">
        <f t="shared" ref="AZ25:AZ31" si="40">(O25-P25)*20/H25</f>
        <v>#DIV/0!</v>
      </c>
      <c r="BA25" s="161" t="e">
        <f t="shared" ref="BA25:BA31" si="41">(Q25-R25)*20/H25</f>
        <v>#DIV/0!</v>
      </c>
      <c r="BB25" s="161" t="e">
        <f t="shared" ref="BB25:BB31" si="42">(S25-T25)*20/H25</f>
        <v>#DIV/0!</v>
      </c>
      <c r="BC25" s="161" t="e">
        <f t="shared" ref="BC25:BC31" si="43">(U25-V25)*20/H25</f>
        <v>#DIV/0!</v>
      </c>
      <c r="BD25" s="162" t="e">
        <f t="shared" ref="BD25:BD31" si="44">(W25-X25)*20/H25</f>
        <v>#DIV/0!</v>
      </c>
      <c r="BE25" s="179"/>
      <c r="BF25" s="163">
        <f t="shared" si="14"/>
        <v>0</v>
      </c>
      <c r="BG25" s="164">
        <f t="shared" si="15"/>
        <v>0</v>
      </c>
      <c r="BH25" s="164">
        <f t="shared" si="16"/>
        <v>0</v>
      </c>
      <c r="BI25" s="164">
        <f t="shared" si="17"/>
        <v>0</v>
      </c>
      <c r="BJ25" s="164">
        <f t="shared" si="18"/>
        <v>0</v>
      </c>
      <c r="BK25" s="164">
        <f t="shared" si="19"/>
        <v>0</v>
      </c>
      <c r="BL25" s="164">
        <f t="shared" si="20"/>
        <v>0</v>
      </c>
      <c r="BM25" s="164">
        <f t="shared" si="21"/>
        <v>0</v>
      </c>
      <c r="BN25" s="164">
        <f t="shared" si="22"/>
        <v>0</v>
      </c>
      <c r="BO25" s="164">
        <f t="shared" si="23"/>
        <v>0</v>
      </c>
      <c r="BP25" s="164">
        <f t="shared" si="24"/>
        <v>0</v>
      </c>
      <c r="BQ25" s="164" t="e">
        <f t="shared" si="25"/>
        <v>#DIV/0!</v>
      </c>
      <c r="BR25" s="164">
        <f t="shared" si="26"/>
        <v>30</v>
      </c>
      <c r="BS25" s="165" t="e">
        <f t="shared" si="27"/>
        <v>#DIV/0!</v>
      </c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>
        <f t="shared" si="1"/>
        <v>0</v>
      </c>
      <c r="AO26" s="127">
        <f t="shared" si="1"/>
        <v>0</v>
      </c>
      <c r="AP26" s="128">
        <f t="shared" si="1"/>
        <v>0</v>
      </c>
      <c r="AQ26" s="127">
        <f t="shared" si="1"/>
        <v>0</v>
      </c>
      <c r="AR26" s="128">
        <f t="shared" si="1"/>
        <v>0</v>
      </c>
      <c r="AS26" s="160" t="e">
        <f t="shared" si="2"/>
        <v>#DIV/0!</v>
      </c>
      <c r="AT26" s="122" t="e">
        <f t="shared" si="3"/>
        <v>#DIV/0!</v>
      </c>
      <c r="AU26" s="122" t="e">
        <f t="shared" si="28"/>
        <v>#DIV/0!</v>
      </c>
      <c r="AV26" s="122" t="e">
        <f t="shared" si="5"/>
        <v>#DIV/0!</v>
      </c>
      <c r="AW26" s="122" t="e">
        <f t="shared" si="37"/>
        <v>#DIV/0!</v>
      </c>
      <c r="AX26" s="122" t="e">
        <f t="shared" si="38"/>
        <v>#DIV/0!</v>
      </c>
      <c r="AY26" s="122" t="e">
        <f t="shared" si="39"/>
        <v>#DIV/0!</v>
      </c>
      <c r="AZ26" s="161" t="e">
        <f t="shared" si="40"/>
        <v>#DIV/0!</v>
      </c>
      <c r="BA26" s="161" t="e">
        <f t="shared" si="41"/>
        <v>#DIV/0!</v>
      </c>
      <c r="BB26" s="161" t="e">
        <f t="shared" si="42"/>
        <v>#DIV/0!</v>
      </c>
      <c r="BC26" s="161" t="e">
        <f t="shared" si="43"/>
        <v>#DIV/0!</v>
      </c>
      <c r="BD26" s="162" t="e">
        <f t="shared" si="44"/>
        <v>#DIV/0!</v>
      </c>
      <c r="BE26" s="179"/>
      <c r="BF26" s="139">
        <f t="shared" si="14"/>
        <v>0</v>
      </c>
      <c r="BG26" s="140">
        <f t="shared" si="15"/>
        <v>0</v>
      </c>
      <c r="BH26" s="140">
        <f t="shared" si="16"/>
        <v>0</v>
      </c>
      <c r="BI26" s="140">
        <f t="shared" si="17"/>
        <v>0</v>
      </c>
      <c r="BJ26" s="140">
        <f t="shared" si="18"/>
        <v>0</v>
      </c>
      <c r="BK26" s="140">
        <f t="shared" si="19"/>
        <v>0</v>
      </c>
      <c r="BL26" s="140">
        <f t="shared" si="20"/>
        <v>0</v>
      </c>
      <c r="BM26" s="140">
        <f t="shared" si="21"/>
        <v>0</v>
      </c>
      <c r="BN26" s="140">
        <f t="shared" si="22"/>
        <v>0</v>
      </c>
      <c r="BO26" s="140">
        <f t="shared" si="23"/>
        <v>0</v>
      </c>
      <c r="BP26" s="140">
        <f t="shared" si="24"/>
        <v>0</v>
      </c>
      <c r="BQ26" s="140" t="e">
        <f t="shared" si="25"/>
        <v>#DIV/0!</v>
      </c>
      <c r="BR26" s="140">
        <f t="shared" si="26"/>
        <v>30</v>
      </c>
      <c r="BS26" s="141" t="e">
        <f t="shared" si="27"/>
        <v>#DIV/0!</v>
      </c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>
        <f t="shared" si="1"/>
        <v>0</v>
      </c>
      <c r="AO27" s="127">
        <f t="shared" si="1"/>
        <v>0</v>
      </c>
      <c r="AP27" s="128">
        <f t="shared" si="1"/>
        <v>0</v>
      </c>
      <c r="AQ27" s="127">
        <f t="shared" si="1"/>
        <v>0</v>
      </c>
      <c r="AR27" s="128">
        <f t="shared" si="1"/>
        <v>0</v>
      </c>
      <c r="AS27" s="160" t="e">
        <f t="shared" si="2"/>
        <v>#DIV/0!</v>
      </c>
      <c r="AT27" s="122" t="e">
        <f t="shared" si="3"/>
        <v>#DIV/0!</v>
      </c>
      <c r="AU27" s="122" t="e">
        <f t="shared" si="28"/>
        <v>#DIV/0!</v>
      </c>
      <c r="AV27" s="122" t="e">
        <f t="shared" si="5"/>
        <v>#DIV/0!</v>
      </c>
      <c r="AW27" s="122" t="e">
        <f t="shared" si="37"/>
        <v>#DIV/0!</v>
      </c>
      <c r="AX27" s="122" t="e">
        <f t="shared" si="38"/>
        <v>#DIV/0!</v>
      </c>
      <c r="AY27" s="122" t="e">
        <f t="shared" si="39"/>
        <v>#DIV/0!</v>
      </c>
      <c r="AZ27" s="161" t="e">
        <f t="shared" si="40"/>
        <v>#DIV/0!</v>
      </c>
      <c r="BA27" s="161" t="e">
        <f t="shared" si="41"/>
        <v>#DIV/0!</v>
      </c>
      <c r="BB27" s="161" t="e">
        <f t="shared" si="42"/>
        <v>#DIV/0!</v>
      </c>
      <c r="BC27" s="161" t="e">
        <f t="shared" si="43"/>
        <v>#DIV/0!</v>
      </c>
      <c r="BD27" s="162" t="e">
        <f t="shared" si="44"/>
        <v>#DIV/0!</v>
      </c>
      <c r="BE27" s="179"/>
      <c r="BF27" s="139">
        <f t="shared" si="14"/>
        <v>0</v>
      </c>
      <c r="BG27" s="140">
        <f t="shared" si="15"/>
        <v>0</v>
      </c>
      <c r="BH27" s="140">
        <f t="shared" si="16"/>
        <v>0</v>
      </c>
      <c r="BI27" s="140">
        <f t="shared" si="17"/>
        <v>0</v>
      </c>
      <c r="BJ27" s="140">
        <f t="shared" si="18"/>
        <v>0</v>
      </c>
      <c r="BK27" s="140">
        <f t="shared" si="19"/>
        <v>0</v>
      </c>
      <c r="BL27" s="140">
        <f t="shared" si="20"/>
        <v>0</v>
      </c>
      <c r="BM27" s="140">
        <f t="shared" si="21"/>
        <v>0</v>
      </c>
      <c r="BN27" s="140">
        <f t="shared" si="22"/>
        <v>0</v>
      </c>
      <c r="BO27" s="140">
        <f t="shared" si="23"/>
        <v>0</v>
      </c>
      <c r="BP27" s="140">
        <f t="shared" si="24"/>
        <v>0</v>
      </c>
      <c r="BQ27" s="140" t="e">
        <f t="shared" si="25"/>
        <v>#DIV/0!</v>
      </c>
      <c r="BR27" s="140">
        <f t="shared" si="26"/>
        <v>30</v>
      </c>
      <c r="BS27" s="141" t="e">
        <f t="shared" si="27"/>
        <v>#DIV/0!</v>
      </c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>
        <f t="shared" si="1"/>
        <v>0</v>
      </c>
      <c r="AO28" s="127">
        <f t="shared" si="1"/>
        <v>0</v>
      </c>
      <c r="AP28" s="128">
        <f t="shared" si="1"/>
        <v>0</v>
      </c>
      <c r="AQ28" s="127">
        <f t="shared" si="1"/>
        <v>0</v>
      </c>
      <c r="AR28" s="128">
        <f t="shared" si="1"/>
        <v>0</v>
      </c>
      <c r="AS28" s="160" t="e">
        <f t="shared" si="2"/>
        <v>#DIV/0!</v>
      </c>
      <c r="AT28" s="122" t="e">
        <f t="shared" si="3"/>
        <v>#DIV/0!</v>
      </c>
      <c r="AU28" s="122" t="e">
        <f t="shared" si="28"/>
        <v>#DIV/0!</v>
      </c>
      <c r="AV28" s="122" t="e">
        <f t="shared" si="5"/>
        <v>#DIV/0!</v>
      </c>
      <c r="AW28" s="122" t="e">
        <f t="shared" si="37"/>
        <v>#DIV/0!</v>
      </c>
      <c r="AX28" s="122" t="e">
        <f t="shared" si="38"/>
        <v>#DIV/0!</v>
      </c>
      <c r="AY28" s="122" t="e">
        <f t="shared" si="39"/>
        <v>#DIV/0!</v>
      </c>
      <c r="AZ28" s="161" t="e">
        <f t="shared" si="40"/>
        <v>#DIV/0!</v>
      </c>
      <c r="BA28" s="161" t="e">
        <f t="shared" si="41"/>
        <v>#DIV/0!</v>
      </c>
      <c r="BB28" s="161" t="e">
        <f t="shared" si="42"/>
        <v>#DIV/0!</v>
      </c>
      <c r="BC28" s="161" t="e">
        <f t="shared" si="43"/>
        <v>#DIV/0!</v>
      </c>
      <c r="BD28" s="162" t="e">
        <f t="shared" si="44"/>
        <v>#DIV/0!</v>
      </c>
      <c r="BE28" s="179"/>
      <c r="BF28" s="139">
        <f t="shared" si="14"/>
        <v>0</v>
      </c>
      <c r="BG28" s="140">
        <f t="shared" si="15"/>
        <v>0</v>
      </c>
      <c r="BH28" s="140">
        <f t="shared" si="16"/>
        <v>0</v>
      </c>
      <c r="BI28" s="140">
        <f t="shared" si="17"/>
        <v>0</v>
      </c>
      <c r="BJ28" s="140">
        <f t="shared" si="18"/>
        <v>0</v>
      </c>
      <c r="BK28" s="140">
        <f t="shared" si="19"/>
        <v>0</v>
      </c>
      <c r="BL28" s="140">
        <f t="shared" si="20"/>
        <v>0</v>
      </c>
      <c r="BM28" s="140">
        <f t="shared" si="21"/>
        <v>0</v>
      </c>
      <c r="BN28" s="140">
        <f t="shared" si="22"/>
        <v>0</v>
      </c>
      <c r="BO28" s="140">
        <f t="shared" si="23"/>
        <v>0</v>
      </c>
      <c r="BP28" s="140">
        <f t="shared" si="24"/>
        <v>0</v>
      </c>
      <c r="BQ28" s="140" t="e">
        <f t="shared" si="25"/>
        <v>#DIV/0!</v>
      </c>
      <c r="BR28" s="140">
        <f t="shared" si="26"/>
        <v>30</v>
      </c>
      <c r="BS28" s="141" t="e">
        <f t="shared" si="27"/>
        <v>#DIV/0!</v>
      </c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>
        <f t="shared" si="1"/>
        <v>0</v>
      </c>
      <c r="AO29" s="127">
        <f t="shared" si="1"/>
        <v>0</v>
      </c>
      <c r="AP29" s="128">
        <f t="shared" si="1"/>
        <v>0</v>
      </c>
      <c r="AQ29" s="127">
        <f t="shared" si="1"/>
        <v>0</v>
      </c>
      <c r="AR29" s="128">
        <f t="shared" si="1"/>
        <v>0</v>
      </c>
      <c r="AS29" s="160" t="e">
        <f t="shared" si="2"/>
        <v>#DIV/0!</v>
      </c>
      <c r="AT29" s="122" t="e">
        <f t="shared" si="3"/>
        <v>#DIV/0!</v>
      </c>
      <c r="AU29" s="122" t="e">
        <f t="shared" si="28"/>
        <v>#DIV/0!</v>
      </c>
      <c r="AV29" s="122" t="e">
        <f t="shared" si="5"/>
        <v>#DIV/0!</v>
      </c>
      <c r="AW29" s="122" t="e">
        <f t="shared" si="37"/>
        <v>#DIV/0!</v>
      </c>
      <c r="AX29" s="122" t="e">
        <f t="shared" si="38"/>
        <v>#DIV/0!</v>
      </c>
      <c r="AY29" s="122" t="e">
        <f t="shared" si="39"/>
        <v>#DIV/0!</v>
      </c>
      <c r="AZ29" s="161" t="e">
        <f t="shared" si="40"/>
        <v>#DIV/0!</v>
      </c>
      <c r="BA29" s="161" t="e">
        <f t="shared" si="41"/>
        <v>#DIV/0!</v>
      </c>
      <c r="BB29" s="161" t="e">
        <f t="shared" si="42"/>
        <v>#DIV/0!</v>
      </c>
      <c r="BC29" s="161" t="e">
        <f t="shared" si="43"/>
        <v>#DIV/0!</v>
      </c>
      <c r="BD29" s="162" t="e">
        <f t="shared" si="44"/>
        <v>#DIV/0!</v>
      </c>
      <c r="BE29" s="179"/>
      <c r="BF29" s="139">
        <f t="shared" si="14"/>
        <v>0</v>
      </c>
      <c r="BG29" s="140">
        <f t="shared" si="15"/>
        <v>0</v>
      </c>
      <c r="BH29" s="140">
        <f t="shared" si="16"/>
        <v>0</v>
      </c>
      <c r="BI29" s="140">
        <f t="shared" si="17"/>
        <v>0</v>
      </c>
      <c r="BJ29" s="140">
        <f t="shared" si="18"/>
        <v>0</v>
      </c>
      <c r="BK29" s="140">
        <f t="shared" si="19"/>
        <v>0</v>
      </c>
      <c r="BL29" s="140">
        <f t="shared" si="20"/>
        <v>0</v>
      </c>
      <c r="BM29" s="140">
        <f t="shared" si="21"/>
        <v>0</v>
      </c>
      <c r="BN29" s="140">
        <f t="shared" si="22"/>
        <v>0</v>
      </c>
      <c r="BO29" s="140">
        <f t="shared" si="23"/>
        <v>0</v>
      </c>
      <c r="BP29" s="140">
        <f t="shared" si="24"/>
        <v>0</v>
      </c>
      <c r="BQ29" s="140" t="e">
        <f t="shared" si="25"/>
        <v>#DIV/0!</v>
      </c>
      <c r="BR29" s="140">
        <f t="shared" si="26"/>
        <v>30</v>
      </c>
      <c r="BS29" s="141" t="e">
        <f t="shared" si="27"/>
        <v>#DIV/0!</v>
      </c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>
        <f t="shared" si="1"/>
        <v>0</v>
      </c>
      <c r="AO30" s="127">
        <f t="shared" si="1"/>
        <v>0</v>
      </c>
      <c r="AP30" s="128">
        <f t="shared" si="1"/>
        <v>0</v>
      </c>
      <c r="AQ30" s="127">
        <f t="shared" si="1"/>
        <v>0</v>
      </c>
      <c r="AR30" s="128">
        <f t="shared" si="1"/>
        <v>0</v>
      </c>
      <c r="AS30" s="160" t="e">
        <f t="shared" si="2"/>
        <v>#DIV/0!</v>
      </c>
      <c r="AT30" s="122" t="e">
        <f t="shared" si="3"/>
        <v>#DIV/0!</v>
      </c>
      <c r="AU30" s="122" t="e">
        <f t="shared" si="28"/>
        <v>#DIV/0!</v>
      </c>
      <c r="AV30" s="122" t="e">
        <f t="shared" si="5"/>
        <v>#DIV/0!</v>
      </c>
      <c r="AW30" s="122" t="e">
        <f t="shared" si="37"/>
        <v>#DIV/0!</v>
      </c>
      <c r="AX30" s="122" t="e">
        <f t="shared" si="38"/>
        <v>#DIV/0!</v>
      </c>
      <c r="AY30" s="122" t="e">
        <f t="shared" si="39"/>
        <v>#DIV/0!</v>
      </c>
      <c r="AZ30" s="161" t="e">
        <f t="shared" si="40"/>
        <v>#DIV/0!</v>
      </c>
      <c r="BA30" s="161" t="e">
        <f t="shared" si="41"/>
        <v>#DIV/0!</v>
      </c>
      <c r="BB30" s="161" t="e">
        <f t="shared" si="42"/>
        <v>#DIV/0!</v>
      </c>
      <c r="BC30" s="161" t="e">
        <f t="shared" si="43"/>
        <v>#DIV/0!</v>
      </c>
      <c r="BD30" s="162" t="e">
        <f t="shared" si="44"/>
        <v>#DIV/0!</v>
      </c>
      <c r="BE30" s="179"/>
      <c r="BF30" s="139">
        <f t="shared" si="14"/>
        <v>0</v>
      </c>
      <c r="BG30" s="140">
        <f t="shared" si="15"/>
        <v>0</v>
      </c>
      <c r="BH30" s="140">
        <f t="shared" si="16"/>
        <v>0</v>
      </c>
      <c r="BI30" s="140">
        <f t="shared" si="17"/>
        <v>0</v>
      </c>
      <c r="BJ30" s="140">
        <f t="shared" si="18"/>
        <v>0</v>
      </c>
      <c r="BK30" s="140">
        <f t="shared" si="19"/>
        <v>0</v>
      </c>
      <c r="BL30" s="140">
        <f t="shared" si="20"/>
        <v>0</v>
      </c>
      <c r="BM30" s="140">
        <f t="shared" si="21"/>
        <v>0</v>
      </c>
      <c r="BN30" s="140">
        <f t="shared" si="22"/>
        <v>0</v>
      </c>
      <c r="BO30" s="140">
        <f t="shared" si="23"/>
        <v>0</v>
      </c>
      <c r="BP30" s="140">
        <f t="shared" si="24"/>
        <v>0</v>
      </c>
      <c r="BQ30" s="140" t="e">
        <f t="shared" si="25"/>
        <v>#DIV/0!</v>
      </c>
      <c r="BR30" s="140">
        <f t="shared" si="26"/>
        <v>30</v>
      </c>
      <c r="BS30" s="141" t="e">
        <f t="shared" si="27"/>
        <v>#DIV/0!</v>
      </c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>
        <f t="shared" si="1"/>
        <v>0</v>
      </c>
      <c r="AO31" s="152">
        <f t="shared" si="1"/>
        <v>0</v>
      </c>
      <c r="AP31" s="153">
        <f t="shared" si="1"/>
        <v>0</v>
      </c>
      <c r="AQ31" s="152">
        <f t="shared" si="1"/>
        <v>0</v>
      </c>
      <c r="AR31" s="153">
        <f t="shared" si="1"/>
        <v>0</v>
      </c>
      <c r="AS31" s="183" t="e">
        <f t="shared" si="2"/>
        <v>#DIV/0!</v>
      </c>
      <c r="AT31" s="148" t="e">
        <f t="shared" si="3"/>
        <v>#DIV/0!</v>
      </c>
      <c r="AU31" s="148" t="e">
        <f t="shared" si="28"/>
        <v>#DIV/0!</v>
      </c>
      <c r="AV31" s="148" t="e">
        <f t="shared" si="5"/>
        <v>#DIV/0!</v>
      </c>
      <c r="AW31" s="148" t="e">
        <f t="shared" si="37"/>
        <v>#DIV/0!</v>
      </c>
      <c r="AX31" s="148" t="e">
        <f t="shared" si="38"/>
        <v>#DIV/0!</v>
      </c>
      <c r="AY31" s="148" t="e">
        <f t="shared" si="39"/>
        <v>#DIV/0!</v>
      </c>
      <c r="AZ31" s="184" t="e">
        <f t="shared" si="40"/>
        <v>#DIV/0!</v>
      </c>
      <c r="BA31" s="184" t="e">
        <f t="shared" si="41"/>
        <v>#DIV/0!</v>
      </c>
      <c r="BB31" s="184" t="e">
        <f t="shared" si="42"/>
        <v>#DIV/0!</v>
      </c>
      <c r="BC31" s="184" t="e">
        <f t="shared" si="43"/>
        <v>#DIV/0!</v>
      </c>
      <c r="BD31" s="185" t="e">
        <f t="shared" si="44"/>
        <v>#DIV/0!</v>
      </c>
      <c r="BE31" s="179"/>
      <c r="BF31" s="139">
        <f t="shared" si="14"/>
        <v>0</v>
      </c>
      <c r="BG31" s="140">
        <f t="shared" si="15"/>
        <v>0</v>
      </c>
      <c r="BH31" s="140">
        <f t="shared" si="16"/>
        <v>0</v>
      </c>
      <c r="BI31" s="140">
        <f t="shared" si="17"/>
        <v>0</v>
      </c>
      <c r="BJ31" s="140">
        <f t="shared" si="18"/>
        <v>0</v>
      </c>
      <c r="BK31" s="140">
        <f t="shared" si="19"/>
        <v>0</v>
      </c>
      <c r="BL31" s="140">
        <f t="shared" si="20"/>
        <v>0</v>
      </c>
      <c r="BM31" s="140">
        <f t="shared" si="21"/>
        <v>0</v>
      </c>
      <c r="BN31" s="140">
        <f t="shared" si="22"/>
        <v>0</v>
      </c>
      <c r="BO31" s="140">
        <f t="shared" si="23"/>
        <v>0</v>
      </c>
      <c r="BP31" s="140">
        <f t="shared" si="24"/>
        <v>0</v>
      </c>
      <c r="BQ31" s="140" t="e">
        <f t="shared" si="25"/>
        <v>#DIV/0!</v>
      </c>
      <c r="BR31" s="140">
        <f t="shared" si="26"/>
        <v>30</v>
      </c>
      <c r="BS31" s="141" t="e">
        <f t="shared" si="27"/>
        <v>#DIV/0!</v>
      </c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>
        <f t="shared" si="1"/>
        <v>0</v>
      </c>
      <c r="AO32" s="127">
        <f t="shared" si="1"/>
        <v>0</v>
      </c>
      <c r="AP32" s="128">
        <f t="shared" si="1"/>
        <v>0</v>
      </c>
      <c r="AQ32" s="127">
        <f t="shared" si="1"/>
        <v>0</v>
      </c>
      <c r="AR32" s="128">
        <f t="shared" si="1"/>
        <v>0</v>
      </c>
      <c r="AS32" s="160" t="e">
        <f t="shared" si="2"/>
        <v>#DIV/0!</v>
      </c>
      <c r="AT32" s="122" t="e">
        <f t="shared" si="3"/>
        <v>#DIV/0!</v>
      </c>
      <c r="AU32" s="122" t="e">
        <f t="shared" si="28"/>
        <v>#DIV/0!</v>
      </c>
      <c r="AV32" s="122" t="e">
        <f t="shared" si="5"/>
        <v>#DIV/0!</v>
      </c>
      <c r="AW32" s="122" t="e">
        <f t="shared" ref="AW32:AW38" si="45">(I32-J32)*40/H32</f>
        <v>#DIV/0!</v>
      </c>
      <c r="AX32" s="122" t="e">
        <f t="shared" ref="AX32:AX38" si="46">(K32-L32)*40/H32</f>
        <v>#DIV/0!</v>
      </c>
      <c r="AY32" s="122" t="e">
        <f t="shared" ref="AY32:AY38" si="47">(M32-N32)*40/H32</f>
        <v>#DIV/0!</v>
      </c>
      <c r="AZ32" s="161" t="e">
        <f t="shared" ref="AZ32:AZ38" si="48">(O32-P32)*40/H32</f>
        <v>#DIV/0!</v>
      </c>
      <c r="BA32" s="161" t="e">
        <f t="shared" ref="BA32:BA38" si="49">(Q32-R32)*40/H32</f>
        <v>#DIV/0!</v>
      </c>
      <c r="BB32" s="161" t="e">
        <f t="shared" ref="BB32:BB38" si="50">(S32-T32)*40/H32</f>
        <v>#DIV/0!</v>
      </c>
      <c r="BC32" s="161" t="e">
        <f t="shared" ref="BC32:BC38" si="51">(U32-V32)*40/H32</f>
        <v>#DIV/0!</v>
      </c>
      <c r="BD32" s="162" t="e">
        <f t="shared" ref="BD32:BD38" si="52">(W32-X32)*40/H32</f>
        <v>#DIV/0!</v>
      </c>
      <c r="BE32" s="179"/>
      <c r="BF32" s="139">
        <f t="shared" si="14"/>
        <v>0</v>
      </c>
      <c r="BG32" s="140">
        <f t="shared" si="15"/>
        <v>0</v>
      </c>
      <c r="BH32" s="140">
        <f t="shared" si="16"/>
        <v>0</v>
      </c>
      <c r="BI32" s="140">
        <f t="shared" si="17"/>
        <v>0</v>
      </c>
      <c r="BJ32" s="140">
        <f t="shared" si="18"/>
        <v>0</v>
      </c>
      <c r="BK32" s="140">
        <f t="shared" si="19"/>
        <v>0</v>
      </c>
      <c r="BL32" s="140">
        <f t="shared" si="20"/>
        <v>0</v>
      </c>
      <c r="BM32" s="140">
        <f t="shared" si="21"/>
        <v>0</v>
      </c>
      <c r="BN32" s="140">
        <f t="shared" si="22"/>
        <v>0</v>
      </c>
      <c r="BO32" s="140">
        <f t="shared" si="23"/>
        <v>0</v>
      </c>
      <c r="BP32" s="140">
        <f t="shared" si="24"/>
        <v>0</v>
      </c>
      <c r="BQ32" s="140" t="e">
        <f t="shared" si="25"/>
        <v>#DIV/0!</v>
      </c>
      <c r="BR32" s="140">
        <f t="shared" si="26"/>
        <v>30</v>
      </c>
      <c r="BS32" s="141" t="e">
        <f t="shared" si="27"/>
        <v>#DIV/0!</v>
      </c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>
        <f t="shared" si="1"/>
        <v>0</v>
      </c>
      <c r="AO33" s="127">
        <f t="shared" si="1"/>
        <v>0</v>
      </c>
      <c r="AP33" s="128">
        <f t="shared" si="1"/>
        <v>0</v>
      </c>
      <c r="AQ33" s="127">
        <f t="shared" si="1"/>
        <v>0</v>
      </c>
      <c r="AR33" s="128">
        <f t="shared" si="1"/>
        <v>0</v>
      </c>
      <c r="AS33" s="160" t="e">
        <f t="shared" si="2"/>
        <v>#DIV/0!</v>
      </c>
      <c r="AT33" s="122" t="e">
        <f t="shared" si="3"/>
        <v>#DIV/0!</v>
      </c>
      <c r="AU33" s="122" t="e">
        <f t="shared" si="28"/>
        <v>#DIV/0!</v>
      </c>
      <c r="AV33" s="122" t="e">
        <f t="shared" si="5"/>
        <v>#DIV/0!</v>
      </c>
      <c r="AW33" s="122" t="e">
        <f t="shared" si="45"/>
        <v>#DIV/0!</v>
      </c>
      <c r="AX33" s="122" t="e">
        <f t="shared" si="46"/>
        <v>#DIV/0!</v>
      </c>
      <c r="AY33" s="122" t="e">
        <f t="shared" si="47"/>
        <v>#DIV/0!</v>
      </c>
      <c r="AZ33" s="161" t="e">
        <f t="shared" si="48"/>
        <v>#DIV/0!</v>
      </c>
      <c r="BA33" s="161" t="e">
        <f t="shared" si="49"/>
        <v>#DIV/0!</v>
      </c>
      <c r="BB33" s="161" t="e">
        <f t="shared" si="50"/>
        <v>#DIV/0!</v>
      </c>
      <c r="BC33" s="161" t="e">
        <f t="shared" si="51"/>
        <v>#DIV/0!</v>
      </c>
      <c r="BD33" s="162" t="e">
        <f t="shared" si="52"/>
        <v>#DIV/0!</v>
      </c>
      <c r="BE33" s="179"/>
      <c r="BF33" s="139">
        <f t="shared" si="14"/>
        <v>0</v>
      </c>
      <c r="BG33" s="140">
        <f t="shared" si="15"/>
        <v>0</v>
      </c>
      <c r="BH33" s="140">
        <f t="shared" si="16"/>
        <v>0</v>
      </c>
      <c r="BI33" s="140">
        <f t="shared" si="17"/>
        <v>0</v>
      </c>
      <c r="BJ33" s="140">
        <f t="shared" si="18"/>
        <v>0</v>
      </c>
      <c r="BK33" s="140">
        <f t="shared" si="19"/>
        <v>0</v>
      </c>
      <c r="BL33" s="140">
        <f t="shared" si="20"/>
        <v>0</v>
      </c>
      <c r="BM33" s="140">
        <f t="shared" si="21"/>
        <v>0</v>
      </c>
      <c r="BN33" s="140">
        <f t="shared" si="22"/>
        <v>0</v>
      </c>
      <c r="BO33" s="140">
        <f t="shared" si="23"/>
        <v>0</v>
      </c>
      <c r="BP33" s="140">
        <f t="shared" si="24"/>
        <v>0</v>
      </c>
      <c r="BQ33" s="140" t="e">
        <f t="shared" si="25"/>
        <v>#DIV/0!</v>
      </c>
      <c r="BR33" s="140">
        <f t="shared" si="26"/>
        <v>30</v>
      </c>
      <c r="BS33" s="141" t="e">
        <f t="shared" si="27"/>
        <v>#DIV/0!</v>
      </c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>
        <f t="shared" si="1"/>
        <v>0</v>
      </c>
      <c r="AO34" s="127">
        <f t="shared" si="1"/>
        <v>0</v>
      </c>
      <c r="AP34" s="128">
        <f t="shared" si="1"/>
        <v>0</v>
      </c>
      <c r="AQ34" s="127">
        <f t="shared" si="1"/>
        <v>0</v>
      </c>
      <c r="AR34" s="128">
        <f t="shared" si="1"/>
        <v>0</v>
      </c>
      <c r="AS34" s="160" t="e">
        <f t="shared" si="2"/>
        <v>#DIV/0!</v>
      </c>
      <c r="AT34" s="122" t="e">
        <f t="shared" si="3"/>
        <v>#DIV/0!</v>
      </c>
      <c r="AU34" s="122" t="e">
        <f t="shared" si="28"/>
        <v>#DIV/0!</v>
      </c>
      <c r="AV34" s="122" t="e">
        <f t="shared" si="5"/>
        <v>#DIV/0!</v>
      </c>
      <c r="AW34" s="122" t="e">
        <f t="shared" si="45"/>
        <v>#DIV/0!</v>
      </c>
      <c r="AX34" s="122" t="e">
        <f t="shared" si="46"/>
        <v>#DIV/0!</v>
      </c>
      <c r="AY34" s="122" t="e">
        <f t="shared" si="47"/>
        <v>#DIV/0!</v>
      </c>
      <c r="AZ34" s="161" t="e">
        <f t="shared" si="48"/>
        <v>#DIV/0!</v>
      </c>
      <c r="BA34" s="161" t="e">
        <f t="shared" si="49"/>
        <v>#DIV/0!</v>
      </c>
      <c r="BB34" s="161" t="e">
        <f t="shared" si="50"/>
        <v>#DIV/0!</v>
      </c>
      <c r="BC34" s="161" t="e">
        <f t="shared" si="51"/>
        <v>#DIV/0!</v>
      </c>
      <c r="BD34" s="162" t="e">
        <f t="shared" si="52"/>
        <v>#DIV/0!</v>
      </c>
      <c r="BE34" s="179"/>
      <c r="BF34" s="139">
        <f t="shared" si="14"/>
        <v>0</v>
      </c>
      <c r="BG34" s="140">
        <f t="shared" si="15"/>
        <v>0</v>
      </c>
      <c r="BH34" s="140">
        <f t="shared" si="16"/>
        <v>0</v>
      </c>
      <c r="BI34" s="140">
        <f t="shared" si="17"/>
        <v>0</v>
      </c>
      <c r="BJ34" s="140">
        <f t="shared" si="18"/>
        <v>0</v>
      </c>
      <c r="BK34" s="140">
        <f t="shared" si="19"/>
        <v>0</v>
      </c>
      <c r="BL34" s="140">
        <f t="shared" si="20"/>
        <v>0</v>
      </c>
      <c r="BM34" s="140">
        <f t="shared" si="21"/>
        <v>0</v>
      </c>
      <c r="BN34" s="140">
        <f t="shared" si="22"/>
        <v>0</v>
      </c>
      <c r="BO34" s="140">
        <f t="shared" si="23"/>
        <v>0</v>
      </c>
      <c r="BP34" s="140">
        <f t="shared" si="24"/>
        <v>0</v>
      </c>
      <c r="BQ34" s="140" t="e">
        <f t="shared" si="25"/>
        <v>#DIV/0!</v>
      </c>
      <c r="BR34" s="140">
        <f t="shared" si="26"/>
        <v>30</v>
      </c>
      <c r="BS34" s="141" t="e">
        <f t="shared" si="27"/>
        <v>#DIV/0!</v>
      </c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>
        <f t="shared" si="1"/>
        <v>0</v>
      </c>
      <c r="AO35" s="127">
        <f t="shared" si="1"/>
        <v>0</v>
      </c>
      <c r="AP35" s="128">
        <f t="shared" si="1"/>
        <v>0</v>
      </c>
      <c r="AQ35" s="127">
        <f t="shared" si="1"/>
        <v>0</v>
      </c>
      <c r="AR35" s="128">
        <f t="shared" si="1"/>
        <v>0</v>
      </c>
      <c r="AS35" s="160" t="e">
        <f t="shared" si="2"/>
        <v>#DIV/0!</v>
      </c>
      <c r="AT35" s="122" t="e">
        <f t="shared" si="3"/>
        <v>#DIV/0!</v>
      </c>
      <c r="AU35" s="122" t="e">
        <f t="shared" si="28"/>
        <v>#DIV/0!</v>
      </c>
      <c r="AV35" s="122" t="e">
        <f t="shared" si="5"/>
        <v>#DIV/0!</v>
      </c>
      <c r="AW35" s="122" t="e">
        <f t="shared" si="45"/>
        <v>#DIV/0!</v>
      </c>
      <c r="AX35" s="122" t="e">
        <f t="shared" si="46"/>
        <v>#DIV/0!</v>
      </c>
      <c r="AY35" s="122" t="e">
        <f t="shared" si="47"/>
        <v>#DIV/0!</v>
      </c>
      <c r="AZ35" s="161" t="e">
        <f t="shared" si="48"/>
        <v>#DIV/0!</v>
      </c>
      <c r="BA35" s="161" t="e">
        <f t="shared" si="49"/>
        <v>#DIV/0!</v>
      </c>
      <c r="BB35" s="161" t="e">
        <f t="shared" si="50"/>
        <v>#DIV/0!</v>
      </c>
      <c r="BC35" s="161" t="e">
        <f t="shared" si="51"/>
        <v>#DIV/0!</v>
      </c>
      <c r="BD35" s="162" t="e">
        <f t="shared" si="52"/>
        <v>#DIV/0!</v>
      </c>
      <c r="BE35" s="179"/>
      <c r="BF35" s="139">
        <f t="shared" si="14"/>
        <v>0</v>
      </c>
      <c r="BG35" s="140">
        <f t="shared" si="15"/>
        <v>0</v>
      </c>
      <c r="BH35" s="140">
        <f t="shared" si="16"/>
        <v>0</v>
      </c>
      <c r="BI35" s="140">
        <f t="shared" si="17"/>
        <v>0</v>
      </c>
      <c r="BJ35" s="140">
        <f t="shared" si="18"/>
        <v>0</v>
      </c>
      <c r="BK35" s="140">
        <f t="shared" si="19"/>
        <v>0</v>
      </c>
      <c r="BL35" s="140">
        <f t="shared" si="20"/>
        <v>0</v>
      </c>
      <c r="BM35" s="140">
        <f t="shared" si="21"/>
        <v>0</v>
      </c>
      <c r="BN35" s="140">
        <f t="shared" si="22"/>
        <v>0</v>
      </c>
      <c r="BO35" s="140">
        <f t="shared" si="23"/>
        <v>0</v>
      </c>
      <c r="BP35" s="140">
        <f t="shared" si="24"/>
        <v>0</v>
      </c>
      <c r="BQ35" s="140" t="e">
        <f t="shared" si="25"/>
        <v>#DIV/0!</v>
      </c>
      <c r="BR35" s="140">
        <f t="shared" si="26"/>
        <v>30</v>
      </c>
      <c r="BS35" s="141" t="e">
        <f t="shared" si="27"/>
        <v>#DIV/0!</v>
      </c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>
        <f t="shared" si="1"/>
        <v>0</v>
      </c>
      <c r="AO36" s="127">
        <f t="shared" si="1"/>
        <v>0</v>
      </c>
      <c r="AP36" s="128">
        <f t="shared" si="1"/>
        <v>0</v>
      </c>
      <c r="AQ36" s="127">
        <f t="shared" si="1"/>
        <v>0</v>
      </c>
      <c r="AR36" s="128">
        <f t="shared" si="1"/>
        <v>0</v>
      </c>
      <c r="AS36" s="160" t="e">
        <f t="shared" si="2"/>
        <v>#DIV/0!</v>
      </c>
      <c r="AT36" s="122" t="e">
        <f t="shared" si="3"/>
        <v>#DIV/0!</v>
      </c>
      <c r="AU36" s="122" t="e">
        <f t="shared" si="28"/>
        <v>#DIV/0!</v>
      </c>
      <c r="AV36" s="122" t="e">
        <f t="shared" si="5"/>
        <v>#DIV/0!</v>
      </c>
      <c r="AW36" s="122" t="e">
        <f t="shared" si="45"/>
        <v>#DIV/0!</v>
      </c>
      <c r="AX36" s="122" t="e">
        <f t="shared" si="46"/>
        <v>#DIV/0!</v>
      </c>
      <c r="AY36" s="122" t="e">
        <f t="shared" si="47"/>
        <v>#DIV/0!</v>
      </c>
      <c r="AZ36" s="161" t="e">
        <f t="shared" si="48"/>
        <v>#DIV/0!</v>
      </c>
      <c r="BA36" s="161" t="e">
        <f t="shared" si="49"/>
        <v>#DIV/0!</v>
      </c>
      <c r="BB36" s="161" t="e">
        <f t="shared" si="50"/>
        <v>#DIV/0!</v>
      </c>
      <c r="BC36" s="161" t="e">
        <f t="shared" si="51"/>
        <v>#DIV/0!</v>
      </c>
      <c r="BD36" s="162" t="e">
        <f t="shared" si="52"/>
        <v>#DIV/0!</v>
      </c>
      <c r="BE36" s="179"/>
      <c r="BF36" s="139">
        <f t="shared" si="14"/>
        <v>0</v>
      </c>
      <c r="BG36" s="140">
        <f t="shared" si="15"/>
        <v>0</v>
      </c>
      <c r="BH36" s="140">
        <f t="shared" si="16"/>
        <v>0</v>
      </c>
      <c r="BI36" s="140">
        <f t="shared" si="17"/>
        <v>0</v>
      </c>
      <c r="BJ36" s="140">
        <f t="shared" si="18"/>
        <v>0</v>
      </c>
      <c r="BK36" s="140">
        <f t="shared" si="19"/>
        <v>0</v>
      </c>
      <c r="BL36" s="140">
        <f t="shared" si="20"/>
        <v>0</v>
      </c>
      <c r="BM36" s="140">
        <f t="shared" si="21"/>
        <v>0</v>
      </c>
      <c r="BN36" s="140">
        <f t="shared" si="22"/>
        <v>0</v>
      </c>
      <c r="BO36" s="140">
        <f t="shared" si="23"/>
        <v>0</v>
      </c>
      <c r="BP36" s="140">
        <f t="shared" si="24"/>
        <v>0</v>
      </c>
      <c r="BQ36" s="140" t="e">
        <f t="shared" si="25"/>
        <v>#DIV/0!</v>
      </c>
      <c r="BR36" s="140">
        <f t="shared" si="26"/>
        <v>30</v>
      </c>
      <c r="BS36" s="141" t="e">
        <f t="shared" si="27"/>
        <v>#DIV/0!</v>
      </c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>
        <f t="shared" si="1"/>
        <v>0</v>
      </c>
      <c r="AO37" s="127">
        <f t="shared" si="1"/>
        <v>0</v>
      </c>
      <c r="AP37" s="128">
        <f t="shared" si="1"/>
        <v>0</v>
      </c>
      <c r="AQ37" s="127">
        <f t="shared" si="1"/>
        <v>0</v>
      </c>
      <c r="AR37" s="128">
        <f t="shared" si="1"/>
        <v>0</v>
      </c>
      <c r="AS37" s="160" t="e">
        <f t="shared" si="2"/>
        <v>#DIV/0!</v>
      </c>
      <c r="AT37" s="122" t="e">
        <f t="shared" si="3"/>
        <v>#DIV/0!</v>
      </c>
      <c r="AU37" s="122" t="e">
        <f t="shared" si="28"/>
        <v>#DIV/0!</v>
      </c>
      <c r="AV37" s="122" t="e">
        <f t="shared" si="5"/>
        <v>#DIV/0!</v>
      </c>
      <c r="AW37" s="122" t="e">
        <f t="shared" si="45"/>
        <v>#DIV/0!</v>
      </c>
      <c r="AX37" s="122" t="e">
        <f t="shared" si="46"/>
        <v>#DIV/0!</v>
      </c>
      <c r="AY37" s="122" t="e">
        <f t="shared" si="47"/>
        <v>#DIV/0!</v>
      </c>
      <c r="AZ37" s="161" t="e">
        <f t="shared" si="48"/>
        <v>#DIV/0!</v>
      </c>
      <c r="BA37" s="161" t="e">
        <f t="shared" si="49"/>
        <v>#DIV/0!</v>
      </c>
      <c r="BB37" s="161" t="e">
        <f t="shared" si="50"/>
        <v>#DIV/0!</v>
      </c>
      <c r="BC37" s="161" t="e">
        <f t="shared" si="51"/>
        <v>#DIV/0!</v>
      </c>
      <c r="BD37" s="162" t="e">
        <f t="shared" si="52"/>
        <v>#DIV/0!</v>
      </c>
      <c r="BE37" s="179"/>
      <c r="BF37" s="139">
        <f t="shared" si="14"/>
        <v>0</v>
      </c>
      <c r="BG37" s="140">
        <f t="shared" si="15"/>
        <v>0</v>
      </c>
      <c r="BH37" s="140">
        <f t="shared" si="16"/>
        <v>0</v>
      </c>
      <c r="BI37" s="140">
        <f t="shared" si="17"/>
        <v>0</v>
      </c>
      <c r="BJ37" s="140">
        <f t="shared" si="18"/>
        <v>0</v>
      </c>
      <c r="BK37" s="140">
        <f t="shared" si="19"/>
        <v>0</v>
      </c>
      <c r="BL37" s="140">
        <f t="shared" si="20"/>
        <v>0</v>
      </c>
      <c r="BM37" s="140">
        <f t="shared" si="21"/>
        <v>0</v>
      </c>
      <c r="BN37" s="140">
        <f t="shared" si="22"/>
        <v>0</v>
      </c>
      <c r="BO37" s="140">
        <f t="shared" si="23"/>
        <v>0</v>
      </c>
      <c r="BP37" s="140">
        <f t="shared" si="24"/>
        <v>0</v>
      </c>
      <c r="BQ37" s="140" t="e">
        <f t="shared" si="25"/>
        <v>#DIV/0!</v>
      </c>
      <c r="BR37" s="140">
        <f t="shared" si="26"/>
        <v>30</v>
      </c>
      <c r="BS37" s="141" t="e">
        <f t="shared" si="27"/>
        <v>#DIV/0!</v>
      </c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80"/>
      <c r="G38" s="370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26">
        <f t="shared" si="1"/>
        <v>0</v>
      </c>
      <c r="AO38" s="127">
        <f t="shared" si="1"/>
        <v>0</v>
      </c>
      <c r="AP38" s="128">
        <f t="shared" si="1"/>
        <v>0</v>
      </c>
      <c r="AQ38" s="127">
        <f t="shared" si="1"/>
        <v>0</v>
      </c>
      <c r="AR38" s="128">
        <f t="shared" si="1"/>
        <v>0</v>
      </c>
      <c r="AS38" s="167" t="e">
        <f t="shared" si="2"/>
        <v>#DIV/0!</v>
      </c>
      <c r="AT38" s="168" t="e">
        <f t="shared" si="3"/>
        <v>#DIV/0!</v>
      </c>
      <c r="AU38" s="168" t="e">
        <f t="shared" si="28"/>
        <v>#DIV/0!</v>
      </c>
      <c r="AV38" s="168" t="e">
        <f t="shared" si="5"/>
        <v>#DIV/0!</v>
      </c>
      <c r="AW38" s="168" t="e">
        <f t="shared" si="45"/>
        <v>#DIV/0!</v>
      </c>
      <c r="AX38" s="168" t="e">
        <f t="shared" si="46"/>
        <v>#DIV/0!</v>
      </c>
      <c r="AY38" s="168" t="e">
        <f t="shared" si="47"/>
        <v>#DIV/0!</v>
      </c>
      <c r="AZ38" s="169" t="e">
        <f t="shared" si="48"/>
        <v>#DIV/0!</v>
      </c>
      <c r="BA38" s="169" t="e">
        <f t="shared" si="49"/>
        <v>#DIV/0!</v>
      </c>
      <c r="BB38" s="169" t="e">
        <f t="shared" si="50"/>
        <v>#DIV/0!</v>
      </c>
      <c r="BC38" s="169" t="e">
        <f t="shared" si="51"/>
        <v>#DIV/0!</v>
      </c>
      <c r="BD38" s="170" t="e">
        <f t="shared" si="52"/>
        <v>#DIV/0!</v>
      </c>
      <c r="BE38" s="179"/>
      <c r="BF38" s="139">
        <f t="shared" si="14"/>
        <v>0</v>
      </c>
      <c r="BG38" s="140">
        <f t="shared" si="15"/>
        <v>0</v>
      </c>
      <c r="BH38" s="140">
        <f t="shared" si="16"/>
        <v>0</v>
      </c>
      <c r="BI38" s="140">
        <f t="shared" si="17"/>
        <v>0</v>
      </c>
      <c r="BJ38" s="140">
        <f t="shared" si="18"/>
        <v>0</v>
      </c>
      <c r="BK38" s="140">
        <f t="shared" si="19"/>
        <v>0</v>
      </c>
      <c r="BL38" s="140">
        <f t="shared" si="20"/>
        <v>0</v>
      </c>
      <c r="BM38" s="140">
        <f t="shared" si="21"/>
        <v>0</v>
      </c>
      <c r="BN38" s="140">
        <f t="shared" si="22"/>
        <v>0</v>
      </c>
      <c r="BO38" s="140">
        <f t="shared" si="23"/>
        <v>0</v>
      </c>
      <c r="BP38" s="140">
        <f t="shared" si="24"/>
        <v>0</v>
      </c>
      <c r="BQ38" s="140" t="e">
        <f t="shared" si="25"/>
        <v>#DIV/0!</v>
      </c>
      <c r="BR38" s="140">
        <f t="shared" si="26"/>
        <v>30</v>
      </c>
      <c r="BS38" s="141" t="e">
        <f t="shared" si="27"/>
        <v>#DIV/0!</v>
      </c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65" fitToWidth="2" orientation="landscape" horizontalDpi="4294967295" r:id="rId1"/>
  <headerFooter alignWithMargins="0"/>
  <colBreaks count="2" manualBreakCount="2">
    <brk id="39" max="37" man="1"/>
    <brk id="57" max="39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1"/>
  <sheetViews>
    <sheetView zoomScaleNormal="100" zoomScaleSheetLayoutView="50" workbookViewId="0">
      <selection activeCell="A2" sqref="A2"/>
    </sheetView>
  </sheetViews>
  <sheetFormatPr defaultColWidth="9" defaultRowHeight="14" x14ac:dyDescent="0.3"/>
  <cols>
    <col min="1" max="1" width="7.6328125" style="65" customWidth="1"/>
    <col min="2" max="2" width="11.36328125" style="73" customWidth="1"/>
    <col min="3" max="3" width="7.6328125" style="73" customWidth="1"/>
    <col min="4" max="4" width="9.90625" style="73" customWidth="1"/>
    <col min="5" max="5" width="7.6328125" style="73" customWidth="1"/>
    <col min="6" max="7" width="7.6328125" style="65" customWidth="1"/>
    <col min="8" max="8" width="7.6328125" style="66" customWidth="1"/>
    <col min="9" max="38" width="6.6328125" style="65" customWidth="1"/>
    <col min="39" max="39" width="6.6328125" style="67" customWidth="1"/>
    <col min="40" max="40" width="8.6328125" style="65" customWidth="1"/>
    <col min="41" max="44" width="8.6328125" style="73" customWidth="1"/>
    <col min="45" max="45" width="7.6328125" style="89" customWidth="1"/>
    <col min="46" max="49" width="7.6328125" style="90" customWidth="1"/>
    <col min="50" max="56" width="7.6328125" style="71" customWidth="1"/>
    <col min="57" max="57" width="9" style="65"/>
    <col min="58" max="71" width="9" style="66"/>
    <col min="72" max="16384" width="9" style="65"/>
  </cols>
  <sheetData>
    <row r="1" spans="1:71" ht="15" customHeight="1" x14ac:dyDescent="0.3">
      <c r="A1" s="63" t="s">
        <v>101</v>
      </c>
      <c r="B1" s="64"/>
      <c r="C1" s="64"/>
      <c r="D1" s="64"/>
      <c r="E1" s="64"/>
      <c r="AN1" s="63" t="s">
        <v>102</v>
      </c>
      <c r="AO1" s="64"/>
      <c r="AP1" s="64"/>
      <c r="AQ1" s="64"/>
      <c r="AR1" s="64"/>
      <c r="AS1" s="68"/>
      <c r="AT1" s="69"/>
      <c r="AU1" s="70"/>
      <c r="AV1" s="70"/>
      <c r="AW1" s="71"/>
    </row>
    <row r="2" spans="1:71" ht="15" customHeight="1" x14ac:dyDescent="0.3">
      <c r="A2" s="72"/>
      <c r="AN2" s="72"/>
      <c r="AS2" s="74"/>
      <c r="AT2" s="70"/>
      <c r="AU2" s="70"/>
      <c r="AV2" s="70"/>
      <c r="AW2" s="71"/>
    </row>
    <row r="3" spans="1:71" ht="15" customHeight="1" x14ac:dyDescent="0.3">
      <c r="A3" s="75" t="s">
        <v>103</v>
      </c>
      <c r="B3" s="76" t="s">
        <v>479</v>
      </c>
      <c r="C3" s="77"/>
      <c r="D3" s="78"/>
      <c r="E3" s="79"/>
      <c r="F3" s="79"/>
      <c r="AG3" s="67"/>
      <c r="AH3" s="80"/>
      <c r="AI3" s="80"/>
      <c r="AJ3" s="80"/>
      <c r="AK3" s="80"/>
      <c r="AL3" s="64"/>
      <c r="AM3" s="80"/>
      <c r="AN3" s="75" t="s">
        <v>103</v>
      </c>
      <c r="AO3" s="81" t="str">
        <f>B3</f>
        <v>富士</v>
      </c>
      <c r="AP3" s="75"/>
      <c r="AQ3" s="82"/>
      <c r="AR3" s="83"/>
      <c r="AS3" s="84"/>
      <c r="AT3" s="71"/>
      <c r="AU3" s="71"/>
      <c r="AV3" s="71"/>
      <c r="AW3" s="71"/>
      <c r="AY3" s="66"/>
      <c r="AZ3" s="66"/>
      <c r="BA3" s="66"/>
      <c r="BB3" s="66"/>
      <c r="BC3" s="66"/>
      <c r="BD3" s="66"/>
    </row>
    <row r="4" spans="1:71" ht="15" customHeight="1" x14ac:dyDescent="0.3">
      <c r="A4" s="75" t="s">
        <v>105</v>
      </c>
      <c r="B4" s="76" t="s">
        <v>480</v>
      </c>
      <c r="C4" s="85"/>
      <c r="D4" s="75"/>
      <c r="E4" s="75" t="s">
        <v>107</v>
      </c>
      <c r="F4" s="86" t="s">
        <v>481</v>
      </c>
      <c r="AG4" s="67"/>
      <c r="AH4" s="80"/>
      <c r="AI4" s="80"/>
      <c r="AJ4" s="80"/>
      <c r="AK4" s="80"/>
      <c r="AL4" s="64"/>
      <c r="AM4" s="80"/>
      <c r="AN4" s="75" t="s">
        <v>105</v>
      </c>
      <c r="AO4" s="81" t="str">
        <f>B4</f>
        <v>静岡県</v>
      </c>
      <c r="AP4" s="81"/>
      <c r="AQ4" s="75"/>
      <c r="AR4" s="75" t="str">
        <f>E4</f>
        <v>担当者：</v>
      </c>
      <c r="AS4" s="75" t="str">
        <f>F4</f>
        <v>本間</v>
      </c>
      <c r="AT4" s="71"/>
      <c r="AU4" s="71"/>
      <c r="AV4" s="71"/>
      <c r="AW4" s="71"/>
      <c r="AY4" s="66"/>
      <c r="AZ4" s="66"/>
      <c r="BA4" s="66"/>
      <c r="BB4" s="66"/>
      <c r="BC4" s="66"/>
      <c r="BD4" s="66"/>
    </row>
    <row r="5" spans="1:71" ht="15" customHeight="1" x14ac:dyDescent="0.3">
      <c r="A5" s="72"/>
      <c r="B5" s="87"/>
      <c r="C5" s="87"/>
      <c r="D5" s="87"/>
      <c r="E5" s="87"/>
      <c r="F5" s="72"/>
      <c r="G5" s="72"/>
      <c r="H5" s="88"/>
      <c r="AN5" s="72"/>
      <c r="AO5" s="64"/>
      <c r="AP5" s="64"/>
      <c r="AQ5" s="64"/>
      <c r="AR5" s="64"/>
    </row>
    <row r="6" spans="1:71" ht="15" customHeight="1" x14ac:dyDescent="0.3">
      <c r="A6" s="91"/>
      <c r="B6" s="92" t="s">
        <v>109</v>
      </c>
      <c r="C6" s="87"/>
      <c r="D6" s="87"/>
      <c r="E6" s="87"/>
      <c r="F6" s="79"/>
      <c r="AN6" s="75" t="s">
        <v>110</v>
      </c>
      <c r="AO6" s="85" t="s">
        <v>111</v>
      </c>
      <c r="AP6" s="64"/>
      <c r="AQ6" s="64"/>
      <c r="AR6" s="64"/>
      <c r="AS6" s="89" t="s">
        <v>112</v>
      </c>
      <c r="AW6" s="71"/>
      <c r="BF6" s="93" t="s">
        <v>113</v>
      </c>
    </row>
    <row r="7" spans="1:71" ht="15" customHeight="1" thickBot="1" x14ac:dyDescent="0.35">
      <c r="B7" s="64"/>
      <c r="C7" s="64"/>
      <c r="D7" s="64"/>
      <c r="E7" s="64"/>
      <c r="AO7" s="64"/>
      <c r="AP7" s="64"/>
      <c r="AQ7" s="64"/>
      <c r="AR7" s="64"/>
      <c r="AS7" s="68"/>
      <c r="BF7" s="94"/>
    </row>
    <row r="8" spans="1:71" s="72" customFormat="1" ht="15" customHeight="1" x14ac:dyDescent="0.3">
      <c r="A8" s="95"/>
      <c r="B8" s="735" t="s">
        <v>114</v>
      </c>
      <c r="C8" s="736"/>
      <c r="D8" s="736"/>
      <c r="E8" s="736"/>
      <c r="F8" s="745" t="s">
        <v>115</v>
      </c>
      <c r="G8" s="746"/>
      <c r="H8" s="747"/>
      <c r="I8" s="748" t="s">
        <v>116</v>
      </c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7"/>
      <c r="Y8" s="748" t="s">
        <v>117</v>
      </c>
      <c r="Z8" s="746"/>
      <c r="AA8" s="746"/>
      <c r="AB8" s="746"/>
      <c r="AC8" s="746"/>
      <c r="AD8" s="746"/>
      <c r="AE8" s="746"/>
      <c r="AF8" s="747"/>
      <c r="AG8" s="748" t="s">
        <v>118</v>
      </c>
      <c r="AH8" s="746"/>
      <c r="AI8" s="746"/>
      <c r="AJ8" s="747"/>
      <c r="AK8" s="748" t="s">
        <v>119</v>
      </c>
      <c r="AL8" s="749"/>
      <c r="AM8" s="96"/>
      <c r="AN8" s="95"/>
      <c r="AO8" s="735" t="s">
        <v>114</v>
      </c>
      <c r="AP8" s="736"/>
      <c r="AQ8" s="736"/>
      <c r="AR8" s="736"/>
      <c r="AS8" s="737" t="s">
        <v>120</v>
      </c>
      <c r="AT8" s="738"/>
      <c r="AU8" s="738"/>
      <c r="AV8" s="739"/>
      <c r="AW8" s="740" t="s">
        <v>121</v>
      </c>
      <c r="AX8" s="741"/>
      <c r="AY8" s="741"/>
      <c r="AZ8" s="741"/>
      <c r="BA8" s="741"/>
      <c r="BB8" s="741"/>
      <c r="BC8" s="741"/>
      <c r="BD8" s="742"/>
      <c r="BF8" s="743" t="s">
        <v>122</v>
      </c>
      <c r="BG8" s="744"/>
      <c r="BH8" s="744"/>
      <c r="BI8" s="744"/>
      <c r="BJ8" s="744"/>
      <c r="BK8" s="744"/>
      <c r="BL8" s="744"/>
      <c r="BM8" s="744"/>
      <c r="BN8" s="97"/>
      <c r="BO8" s="97"/>
      <c r="BP8" s="97"/>
      <c r="BQ8" s="97"/>
      <c r="BR8" s="97"/>
      <c r="BS8" s="98"/>
    </row>
    <row r="9" spans="1:71" s="72" customFormat="1" ht="15" customHeight="1" x14ac:dyDescent="0.4">
      <c r="A9" s="99" t="s">
        <v>123</v>
      </c>
      <c r="B9" s="728" t="s">
        <v>124</v>
      </c>
      <c r="C9" s="729"/>
      <c r="D9" s="728" t="s">
        <v>125</v>
      </c>
      <c r="E9" s="729"/>
      <c r="F9" s="100" t="s">
        <v>126</v>
      </c>
      <c r="G9" s="101" t="s">
        <v>127</v>
      </c>
      <c r="H9" s="102" t="s">
        <v>128</v>
      </c>
      <c r="I9" s="732" t="s">
        <v>142</v>
      </c>
      <c r="J9" s="733"/>
      <c r="K9" s="732" t="s">
        <v>143</v>
      </c>
      <c r="L9" s="733"/>
      <c r="M9" s="732" t="s">
        <v>144</v>
      </c>
      <c r="N9" s="733"/>
      <c r="O9" s="732" t="s">
        <v>145</v>
      </c>
      <c r="P9" s="733"/>
      <c r="Q9" s="732" t="s">
        <v>146</v>
      </c>
      <c r="R9" s="733"/>
      <c r="S9" s="732" t="s">
        <v>147</v>
      </c>
      <c r="T9" s="733"/>
      <c r="U9" s="732" t="s">
        <v>264</v>
      </c>
      <c r="V9" s="733"/>
      <c r="W9" s="732" t="s">
        <v>265</v>
      </c>
      <c r="X9" s="733"/>
      <c r="Y9" s="732" t="s">
        <v>142</v>
      </c>
      <c r="Z9" s="733"/>
      <c r="AA9" s="732" t="s">
        <v>143</v>
      </c>
      <c r="AB9" s="733"/>
      <c r="AC9" s="732" t="s">
        <v>144</v>
      </c>
      <c r="AD9" s="733"/>
      <c r="AE9" s="732" t="s">
        <v>145</v>
      </c>
      <c r="AF9" s="733"/>
      <c r="AG9" s="732" t="s">
        <v>142</v>
      </c>
      <c r="AH9" s="733"/>
      <c r="AI9" s="732" t="s">
        <v>144</v>
      </c>
      <c r="AJ9" s="733"/>
      <c r="AK9" s="732" t="s">
        <v>145</v>
      </c>
      <c r="AL9" s="734"/>
      <c r="AM9" s="96"/>
      <c r="AN9" s="99" t="s">
        <v>137</v>
      </c>
      <c r="AO9" s="728" t="s">
        <v>124</v>
      </c>
      <c r="AP9" s="729"/>
      <c r="AQ9" s="728" t="s">
        <v>125</v>
      </c>
      <c r="AR9" s="729"/>
      <c r="AS9" s="730" t="s">
        <v>138</v>
      </c>
      <c r="AT9" s="726" t="s">
        <v>139</v>
      </c>
      <c r="AU9" s="726" t="s">
        <v>140</v>
      </c>
      <c r="AV9" s="726" t="s">
        <v>141</v>
      </c>
      <c r="AW9" s="726" t="s">
        <v>142</v>
      </c>
      <c r="AX9" s="726" t="s">
        <v>143</v>
      </c>
      <c r="AY9" s="726" t="s">
        <v>144</v>
      </c>
      <c r="AZ9" s="726" t="s">
        <v>145</v>
      </c>
      <c r="BA9" s="726" t="s">
        <v>146</v>
      </c>
      <c r="BB9" s="726" t="s">
        <v>147</v>
      </c>
      <c r="BC9" s="726" t="s">
        <v>148</v>
      </c>
      <c r="BD9" s="722" t="s">
        <v>266</v>
      </c>
      <c r="BF9" s="724" t="s">
        <v>142</v>
      </c>
      <c r="BG9" s="718" t="s">
        <v>143</v>
      </c>
      <c r="BH9" s="718" t="s">
        <v>144</v>
      </c>
      <c r="BI9" s="718" t="s">
        <v>145</v>
      </c>
      <c r="BJ9" s="718" t="s">
        <v>146</v>
      </c>
      <c r="BK9" s="718" t="s">
        <v>147</v>
      </c>
      <c r="BL9" s="718" t="s">
        <v>148</v>
      </c>
      <c r="BM9" s="720" t="s">
        <v>266</v>
      </c>
      <c r="BN9" s="103" t="s">
        <v>267</v>
      </c>
      <c r="BO9" s="103" t="s">
        <v>268</v>
      </c>
      <c r="BP9" s="103" t="s">
        <v>269</v>
      </c>
      <c r="BQ9" s="103" t="s">
        <v>270</v>
      </c>
      <c r="BR9" s="103" t="s">
        <v>155</v>
      </c>
      <c r="BS9" s="104" t="s">
        <v>156</v>
      </c>
    </row>
    <row r="10" spans="1:71" s="114" customFormat="1" ht="15" customHeight="1" thickBot="1" x14ac:dyDescent="0.35">
      <c r="A10" s="105"/>
      <c r="B10" s="106" t="s">
        <v>157</v>
      </c>
      <c r="C10" s="107" t="s">
        <v>158</v>
      </c>
      <c r="D10" s="106" t="s">
        <v>157</v>
      </c>
      <c r="E10" s="107" t="s">
        <v>158</v>
      </c>
      <c r="F10" s="108" t="s">
        <v>271</v>
      </c>
      <c r="G10" s="108" t="s">
        <v>272</v>
      </c>
      <c r="H10" s="108" t="s">
        <v>272</v>
      </c>
      <c r="I10" s="109" t="s">
        <v>273</v>
      </c>
      <c r="J10" s="109" t="s">
        <v>274</v>
      </c>
      <c r="K10" s="109" t="s">
        <v>273</v>
      </c>
      <c r="L10" s="109" t="s">
        <v>274</v>
      </c>
      <c r="M10" s="109" t="s">
        <v>273</v>
      </c>
      <c r="N10" s="109" t="s">
        <v>274</v>
      </c>
      <c r="O10" s="109" t="s">
        <v>273</v>
      </c>
      <c r="P10" s="109" t="s">
        <v>274</v>
      </c>
      <c r="Q10" s="109" t="s">
        <v>273</v>
      </c>
      <c r="R10" s="109" t="s">
        <v>274</v>
      </c>
      <c r="S10" s="109" t="s">
        <v>273</v>
      </c>
      <c r="T10" s="109" t="s">
        <v>274</v>
      </c>
      <c r="U10" s="109" t="s">
        <v>273</v>
      </c>
      <c r="V10" s="109" t="s">
        <v>274</v>
      </c>
      <c r="W10" s="109" t="s">
        <v>273</v>
      </c>
      <c r="X10" s="109" t="s">
        <v>274</v>
      </c>
      <c r="Y10" s="109" t="s">
        <v>273</v>
      </c>
      <c r="Z10" s="109" t="s">
        <v>274</v>
      </c>
      <c r="AA10" s="109" t="s">
        <v>273</v>
      </c>
      <c r="AB10" s="109" t="s">
        <v>274</v>
      </c>
      <c r="AC10" s="109" t="s">
        <v>273</v>
      </c>
      <c r="AD10" s="109" t="s">
        <v>274</v>
      </c>
      <c r="AE10" s="109" t="s">
        <v>273</v>
      </c>
      <c r="AF10" s="109" t="s">
        <v>274</v>
      </c>
      <c r="AG10" s="109" t="s">
        <v>273</v>
      </c>
      <c r="AH10" s="109" t="s">
        <v>274</v>
      </c>
      <c r="AI10" s="109" t="s">
        <v>273</v>
      </c>
      <c r="AJ10" s="109" t="s">
        <v>274</v>
      </c>
      <c r="AK10" s="109" t="s">
        <v>273</v>
      </c>
      <c r="AL10" s="110" t="s">
        <v>274</v>
      </c>
      <c r="AM10" s="111"/>
      <c r="AN10" s="105"/>
      <c r="AO10" s="112" t="s">
        <v>275</v>
      </c>
      <c r="AP10" s="113" t="s">
        <v>276</v>
      </c>
      <c r="AQ10" s="112" t="s">
        <v>275</v>
      </c>
      <c r="AR10" s="113" t="s">
        <v>276</v>
      </c>
      <c r="AS10" s="731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3"/>
      <c r="BF10" s="725"/>
      <c r="BG10" s="719"/>
      <c r="BH10" s="719"/>
      <c r="BI10" s="719"/>
      <c r="BJ10" s="719"/>
      <c r="BK10" s="719"/>
      <c r="BL10" s="719"/>
      <c r="BM10" s="721"/>
      <c r="BN10" s="115"/>
      <c r="BO10" s="115"/>
      <c r="BP10" s="115"/>
      <c r="BQ10" s="115"/>
      <c r="BR10" s="115"/>
      <c r="BS10" s="116"/>
    </row>
    <row r="11" spans="1:71" s="72" customFormat="1" ht="15" customHeight="1" x14ac:dyDescent="0.3">
      <c r="A11" s="117">
        <v>1</v>
      </c>
      <c r="B11" s="118">
        <v>41847</v>
      </c>
      <c r="C11" s="119">
        <v>0.41666666666666702</v>
      </c>
      <c r="D11" s="118">
        <v>41848</v>
      </c>
      <c r="E11" s="119">
        <v>0.41666666666666702</v>
      </c>
      <c r="F11" s="120">
        <v>29.15</v>
      </c>
      <c r="G11" s="121">
        <v>1.44</v>
      </c>
      <c r="H11" s="122">
        <f t="shared" ref="H11:H17" si="0">G11*(20+273)/(F11+273)</f>
        <v>1.3963925202713883</v>
      </c>
      <c r="I11" s="123">
        <v>0.53417794245282135</v>
      </c>
      <c r="J11" s="120">
        <v>0.26295859437539632</v>
      </c>
      <c r="K11" s="120">
        <v>0.4294559864694244</v>
      </c>
      <c r="L11" s="120">
        <v>0.26449009171071136</v>
      </c>
      <c r="M11" s="120">
        <v>0.34673259773763992</v>
      </c>
      <c r="N11" s="120">
        <v>5.9299937999409635E-2</v>
      </c>
      <c r="O11" s="120">
        <v>7.8347710809054824E-2</v>
      </c>
      <c r="P11" s="120">
        <v>0</v>
      </c>
      <c r="Q11" s="120">
        <v>0.33380697844505131</v>
      </c>
      <c r="R11" s="120">
        <v>3.625973228456353E-3</v>
      </c>
      <c r="S11" s="120">
        <v>3.769092307627854E-2</v>
      </c>
      <c r="T11" s="120">
        <v>1.1510215506465452E-2</v>
      </c>
      <c r="U11" s="120">
        <v>2.4892016315674909E-2</v>
      </c>
      <c r="V11" s="120">
        <v>0</v>
      </c>
      <c r="W11" s="120">
        <v>3.9251011942352074E-2</v>
      </c>
      <c r="X11" s="120">
        <v>0</v>
      </c>
      <c r="Y11" s="120">
        <v>0.29511639641230281</v>
      </c>
      <c r="Z11" s="120">
        <v>0.26740924948730471</v>
      </c>
      <c r="AA11" s="120">
        <v>0.32161638418193761</v>
      </c>
      <c r="AB11" s="120">
        <v>0.30252822439243515</v>
      </c>
      <c r="AC11" s="120">
        <v>0.33172348054639411</v>
      </c>
      <c r="AD11" s="120">
        <v>0.29635328412592482</v>
      </c>
      <c r="AE11" s="120">
        <v>2.8363842675709072E-2</v>
      </c>
      <c r="AF11" s="120">
        <v>0</v>
      </c>
      <c r="AG11" s="120">
        <v>0.31881945626762681</v>
      </c>
      <c r="AH11" s="120">
        <v>0</v>
      </c>
      <c r="AI11" s="120">
        <v>8.9180871432844172E-2</v>
      </c>
      <c r="AJ11" s="120">
        <v>6.9198033394564096E-2</v>
      </c>
      <c r="AK11" s="120">
        <v>0.55214650302952639</v>
      </c>
      <c r="AL11" s="124">
        <v>2.3410256235123567E-2</v>
      </c>
      <c r="AM11" s="125"/>
      <c r="AN11" s="126">
        <f t="shared" ref="AN11:AR38" si="1">A11</f>
        <v>1</v>
      </c>
      <c r="AO11" s="127">
        <f t="shared" si="1"/>
        <v>41847</v>
      </c>
      <c r="AP11" s="128">
        <f t="shared" si="1"/>
        <v>0.41666666666666702</v>
      </c>
      <c r="AQ11" s="127">
        <f t="shared" si="1"/>
        <v>41848</v>
      </c>
      <c r="AR11" s="128">
        <f t="shared" si="1"/>
        <v>0.41666666666666702</v>
      </c>
      <c r="AS11" s="129">
        <f t="shared" ref="AS11:AS38" si="2">1000/96.06*(Y11-Z11+AG11-AH11)*20/H11</f>
        <v>51.667384933507428</v>
      </c>
      <c r="AT11" s="130">
        <f t="shared" ref="AT11:AT38" si="3">1000/62.01*(AA11-AB11)*20/H11</f>
        <v>4.4088448127274349</v>
      </c>
      <c r="AU11" s="130">
        <f t="shared" ref="AU11:AU17" si="4">1000/35.45*(AC11-AD11+AI11-AJ11)*20/H11</f>
        <v>22.363906929476428</v>
      </c>
      <c r="AV11" s="131">
        <f t="shared" ref="AV11:AV38" si="5">1000/18.04*(AE11-AF11+AK11-AL11)*20/H11</f>
        <v>442.30227867987901</v>
      </c>
      <c r="AW11" s="132">
        <f t="shared" ref="AW11:AW17" si="6">1000/96.06*(I11-J11)*20/H11</f>
        <v>40.439014867616663</v>
      </c>
      <c r="AX11" s="132">
        <f t="shared" ref="AX11:AX17" si="7">1000/62.01*(K11-L11)*20/H11</f>
        <v>38.102626832780189</v>
      </c>
      <c r="AY11" s="132">
        <f t="shared" ref="AY11:AY17" si="8">1000/35.45*(M11-N11)*20/H11</f>
        <v>116.12944644738604</v>
      </c>
      <c r="AZ11" s="133">
        <f t="shared" ref="AZ11:AZ17" si="9">1000/18.04*(O11-P11)*20/H11</f>
        <v>62.203133108734264</v>
      </c>
      <c r="BA11" s="133">
        <f t="shared" ref="BA11:BA17" si="10">1000/22.99*(Q11-R11)*20/H11</f>
        <v>205.7006177320055</v>
      </c>
      <c r="BB11" s="133">
        <f t="shared" ref="BB11:BB17" si="11">1000/39.1*(S11-T11)*20/H11</f>
        <v>9.5901876311372423</v>
      </c>
      <c r="BC11" s="133">
        <f t="shared" ref="BC11:BC17" si="12">1000/24.31*(U11-V11)*20/H11</f>
        <v>14.665524505516407</v>
      </c>
      <c r="BD11" s="134">
        <f t="shared" ref="BD11:BD17" si="13">1000/40*(W11-X11)*20/H11</f>
        <v>14.054433611089401</v>
      </c>
      <c r="BF11" s="135">
        <f t="shared" ref="BF11:BF38" si="14">(I11-J11)/48.03*1000</f>
        <v>5.6468737888283371</v>
      </c>
      <c r="BG11" s="136">
        <f t="shared" ref="BG11:BG38" si="15">(K11-L11)/62.01*1000</f>
        <v>2.6603111555993073</v>
      </c>
      <c r="BH11" s="136">
        <f t="shared" ref="BH11:BH38" si="16">(M11-N11)/35.45*1000</f>
        <v>8.1081145201193312</v>
      </c>
      <c r="BI11" s="136">
        <f t="shared" ref="BI11:BI38" si="17">(O11-P11)/18.04*1000</f>
        <v>4.3429994905241029</v>
      </c>
      <c r="BJ11" s="136">
        <f t="shared" ref="BJ11:BJ38" si="18">(Q11-R11)/22.99*1000</f>
        <v>14.361940200808828</v>
      </c>
      <c r="BK11" s="136">
        <f t="shared" ref="BK11:BK38" si="19">(S11-T11)/39.1*1000</f>
        <v>0.66958331380596137</v>
      </c>
      <c r="BL11" s="136">
        <f t="shared" ref="BL11:BL38" si="20">(U11-V11)/12.16*1000</f>
        <v>2.0470408154337916</v>
      </c>
      <c r="BM11" s="136">
        <f t="shared" ref="BM11:BM38" si="21">(W11-X11)/20.04*1000</f>
        <v>1.9586333304566903</v>
      </c>
      <c r="BN11" s="136">
        <f t="shared" ref="BN11:BN38" si="22">SUM(BF11:BH11)</f>
        <v>16.415299464546976</v>
      </c>
      <c r="BO11" s="136">
        <f t="shared" ref="BO11:BO38" si="23">SUM(BI11:BM11)</f>
        <v>23.380197151029378</v>
      </c>
      <c r="BP11" s="136">
        <f t="shared" ref="BP11:BP38" si="24">BN11+BO11</f>
        <v>39.795496615576354</v>
      </c>
      <c r="BQ11" s="136">
        <f t="shared" ref="BQ11:BQ38" si="25">(BO11-BN11)/BP11*100</f>
        <v>17.501723257189539</v>
      </c>
      <c r="BR11" s="136">
        <f t="shared" ref="BR11:BR38" si="26">IF(BP11&lt;50,30,IF(BP11&lt;=100,15,8))</f>
        <v>30</v>
      </c>
      <c r="BS11" s="137" t="str">
        <f t="shared" ref="BS11:BS38" si="27">IF(ABS(BQ11)&lt;BR11,"○","×")</f>
        <v>○</v>
      </c>
    </row>
    <row r="12" spans="1:71" s="72" customFormat="1" ht="15" customHeight="1" x14ac:dyDescent="0.3">
      <c r="A12" s="117">
        <v>2</v>
      </c>
      <c r="B12" s="118">
        <v>41848</v>
      </c>
      <c r="C12" s="119">
        <v>0.41666666666666669</v>
      </c>
      <c r="D12" s="118">
        <v>41849</v>
      </c>
      <c r="E12" s="119">
        <v>0.41666666666666669</v>
      </c>
      <c r="F12" s="120">
        <v>30.65</v>
      </c>
      <c r="G12" s="121">
        <v>1.44</v>
      </c>
      <c r="H12" s="122">
        <f t="shared" si="0"/>
        <v>1.3894944837806684</v>
      </c>
      <c r="I12" s="123">
        <v>0.60249866164386445</v>
      </c>
      <c r="J12" s="120">
        <v>0.26295859437539632</v>
      </c>
      <c r="K12" s="120">
        <v>0.39190011965178218</v>
      </c>
      <c r="L12" s="120">
        <v>0.26449009171071136</v>
      </c>
      <c r="M12" s="120">
        <v>7.8866650402103125E-2</v>
      </c>
      <c r="N12" s="120">
        <v>5.9299937999409635E-2</v>
      </c>
      <c r="O12" s="120">
        <v>0.15709589598201221</v>
      </c>
      <c r="P12" s="120">
        <v>0</v>
      </c>
      <c r="Q12" s="120">
        <v>7.4432713690276694E-2</v>
      </c>
      <c r="R12" s="120">
        <v>3.625973228456353E-3</v>
      </c>
      <c r="S12" s="120">
        <v>3.1628156448581614E-2</v>
      </c>
      <c r="T12" s="120">
        <v>1.1510215506465452E-2</v>
      </c>
      <c r="U12" s="120">
        <v>1.2818034240359875E-2</v>
      </c>
      <c r="V12" s="120">
        <v>0</v>
      </c>
      <c r="W12" s="120">
        <v>4.089039647600571E-2</v>
      </c>
      <c r="X12" s="120">
        <v>0</v>
      </c>
      <c r="Y12" s="120">
        <v>0.34211714906353996</v>
      </c>
      <c r="Z12" s="120">
        <v>0.26740924948730471</v>
      </c>
      <c r="AA12" s="120">
        <v>0.3451145641492771</v>
      </c>
      <c r="AB12" s="120">
        <v>0.30252822439243515</v>
      </c>
      <c r="AC12" s="120">
        <v>0.31962543303779056</v>
      </c>
      <c r="AD12" s="120">
        <v>0.29635328412592482</v>
      </c>
      <c r="AE12" s="120">
        <v>2.907203143771837E-2</v>
      </c>
      <c r="AF12" s="120">
        <v>0</v>
      </c>
      <c r="AG12" s="120">
        <v>0.35510629269255878</v>
      </c>
      <c r="AH12" s="120">
        <v>0</v>
      </c>
      <c r="AI12" s="120">
        <v>7.8403108885163816E-2</v>
      </c>
      <c r="AJ12" s="120">
        <v>6.9198033394564096E-2</v>
      </c>
      <c r="AK12" s="120">
        <v>0.2923596040797849</v>
      </c>
      <c r="AL12" s="124">
        <v>2.3410256235123567E-2</v>
      </c>
      <c r="AM12" s="138"/>
      <c r="AN12" s="126">
        <f t="shared" si="1"/>
        <v>2</v>
      </c>
      <c r="AO12" s="127">
        <f t="shared" si="1"/>
        <v>41848</v>
      </c>
      <c r="AP12" s="128">
        <f t="shared" si="1"/>
        <v>0.41666666666666669</v>
      </c>
      <c r="AQ12" s="127">
        <f t="shared" si="1"/>
        <v>41849</v>
      </c>
      <c r="AR12" s="128">
        <f t="shared" si="1"/>
        <v>0.41666666666666669</v>
      </c>
      <c r="AS12" s="129">
        <f t="shared" si="2"/>
        <v>64.403777057642657</v>
      </c>
      <c r="AT12" s="132">
        <f t="shared" si="3"/>
        <v>9.885115587713214</v>
      </c>
      <c r="AU12" s="130">
        <f t="shared" si="4"/>
        <v>13.186691171220019</v>
      </c>
      <c r="AV12" s="131">
        <f t="shared" si="5"/>
        <v>237.78478149905837</v>
      </c>
      <c r="AW12" s="132">
        <f t="shared" si="6"/>
        <v>50.877014272297409</v>
      </c>
      <c r="AX12" s="132">
        <f t="shared" si="7"/>
        <v>29.574339105508813</v>
      </c>
      <c r="AY12" s="132">
        <f t="shared" si="8"/>
        <v>7.9446503953956187</v>
      </c>
      <c r="AZ12" s="133">
        <f t="shared" si="9"/>
        <v>125.34340116950852</v>
      </c>
      <c r="BA12" s="133">
        <f t="shared" si="10"/>
        <v>44.331129817270124</v>
      </c>
      <c r="BB12" s="133">
        <f t="shared" si="11"/>
        <v>7.4059357528094347</v>
      </c>
      <c r="BC12" s="133">
        <f t="shared" si="12"/>
        <v>7.5894383448972382</v>
      </c>
      <c r="BD12" s="134">
        <f t="shared" si="13"/>
        <v>14.714126955274857</v>
      </c>
      <c r="BF12" s="139">
        <f t="shared" si="14"/>
        <v>7.0693330682587581</v>
      </c>
      <c r="BG12" s="140">
        <f t="shared" si="15"/>
        <v>2.0546690524281699</v>
      </c>
      <c r="BH12" s="140">
        <f t="shared" si="16"/>
        <v>0.55195239499840587</v>
      </c>
      <c r="BI12" s="140">
        <f t="shared" si="17"/>
        <v>8.7081982251669743</v>
      </c>
      <c r="BJ12" s="140">
        <f t="shared" si="18"/>
        <v>3.0798930170430774</v>
      </c>
      <c r="BK12" s="140">
        <f t="shared" si="19"/>
        <v>0.51452534378813708</v>
      </c>
      <c r="BL12" s="140">
        <f t="shared" si="20"/>
        <v>1.0541146579243319</v>
      </c>
      <c r="BM12" s="140">
        <f t="shared" si="21"/>
        <v>2.0404389459084684</v>
      </c>
      <c r="BN12" s="140">
        <f t="shared" si="22"/>
        <v>9.6759545156853335</v>
      </c>
      <c r="BO12" s="140">
        <f t="shared" si="23"/>
        <v>15.397170189830987</v>
      </c>
      <c r="BP12" s="140">
        <f t="shared" si="24"/>
        <v>25.073124705516321</v>
      </c>
      <c r="BQ12" s="140">
        <f t="shared" si="25"/>
        <v>22.818119964469101</v>
      </c>
      <c r="BR12" s="140">
        <f t="shared" si="26"/>
        <v>30</v>
      </c>
      <c r="BS12" s="141" t="str">
        <f t="shared" si="27"/>
        <v>○</v>
      </c>
    </row>
    <row r="13" spans="1:71" s="72" customFormat="1" ht="15" customHeight="1" x14ac:dyDescent="0.3">
      <c r="A13" s="117">
        <v>3</v>
      </c>
      <c r="B13" s="118">
        <v>41849</v>
      </c>
      <c r="C13" s="119">
        <v>0.41666666666666669</v>
      </c>
      <c r="D13" s="118">
        <v>41850</v>
      </c>
      <c r="E13" s="119">
        <v>0.41666666666666669</v>
      </c>
      <c r="F13" s="120">
        <v>30.75</v>
      </c>
      <c r="G13" s="121">
        <v>1.44</v>
      </c>
      <c r="H13" s="122">
        <f t="shared" si="0"/>
        <v>1.3890370370370368</v>
      </c>
      <c r="I13" s="123">
        <v>0.96441537017860135</v>
      </c>
      <c r="J13" s="120">
        <v>0.26295859437539632</v>
      </c>
      <c r="K13" s="120">
        <v>0.38547474929968767</v>
      </c>
      <c r="L13" s="120">
        <v>0.26449009171071136</v>
      </c>
      <c r="M13" s="120">
        <v>6.9366341675701618E-2</v>
      </c>
      <c r="N13" s="120">
        <v>5.9299937999409635E-2</v>
      </c>
      <c r="O13" s="120">
        <v>0.32701589818571764</v>
      </c>
      <c r="P13" s="120">
        <v>0</v>
      </c>
      <c r="Q13" s="120">
        <v>0.16008619159758575</v>
      </c>
      <c r="R13" s="120">
        <v>3.625973228456353E-3</v>
      </c>
      <c r="S13" s="120">
        <v>3.2718488559628826E-2</v>
      </c>
      <c r="T13" s="120">
        <v>1.1510215506465452E-2</v>
      </c>
      <c r="U13" s="120">
        <v>9.5250778177127498E-3</v>
      </c>
      <c r="V13" s="120">
        <v>0</v>
      </c>
      <c r="W13" s="120">
        <v>6.1752144741775827E-3</v>
      </c>
      <c r="X13" s="120">
        <v>0</v>
      </c>
      <c r="Y13" s="120">
        <v>0.3764406518981494</v>
      </c>
      <c r="Z13" s="120">
        <v>0.26740924948730471</v>
      </c>
      <c r="AA13" s="120">
        <v>0.40413959157696266</v>
      </c>
      <c r="AB13" s="120">
        <v>0.30252822439243515</v>
      </c>
      <c r="AC13" s="120">
        <v>0.29633995217964115</v>
      </c>
      <c r="AD13" s="120">
        <v>0.29635328412592482</v>
      </c>
      <c r="AE13" s="120">
        <v>5.9560074953253959E-2</v>
      </c>
      <c r="AF13" s="120">
        <v>0</v>
      </c>
      <c r="AG13" s="120">
        <v>0.50386382508682881</v>
      </c>
      <c r="AH13" s="120">
        <v>0</v>
      </c>
      <c r="AI13" s="120">
        <v>7.6008787853497892E-2</v>
      </c>
      <c r="AJ13" s="120">
        <v>6.9198033394564096E-2</v>
      </c>
      <c r="AK13" s="120">
        <v>0.32975610916187975</v>
      </c>
      <c r="AL13" s="124">
        <v>2.3410256235123567E-2</v>
      </c>
      <c r="AM13" s="78"/>
      <c r="AN13" s="126">
        <f t="shared" si="1"/>
        <v>3</v>
      </c>
      <c r="AO13" s="127">
        <f t="shared" si="1"/>
        <v>41849</v>
      </c>
      <c r="AP13" s="128">
        <f t="shared" si="1"/>
        <v>0.41666666666666669</v>
      </c>
      <c r="AQ13" s="127">
        <f t="shared" si="1"/>
        <v>41850</v>
      </c>
      <c r="AR13" s="128">
        <f t="shared" si="1"/>
        <v>0.41666666666666669</v>
      </c>
      <c r="AS13" s="129">
        <f t="shared" si="2"/>
        <v>91.867061933199125</v>
      </c>
      <c r="AT13" s="132">
        <f t="shared" si="3"/>
        <v>23.593736962480758</v>
      </c>
      <c r="AU13" s="130">
        <f t="shared" si="4"/>
        <v>2.7608587998519987</v>
      </c>
      <c r="AV13" s="131">
        <f t="shared" si="5"/>
        <v>292.04453380878914</v>
      </c>
      <c r="AW13" s="132">
        <f t="shared" si="6"/>
        <v>105.14158077111119</v>
      </c>
      <c r="AX13" s="132">
        <f t="shared" si="7"/>
        <v>28.092134440690451</v>
      </c>
      <c r="AY13" s="132">
        <f t="shared" si="8"/>
        <v>4.0885966880581508</v>
      </c>
      <c r="AZ13" s="133">
        <f t="shared" si="9"/>
        <v>261.00480548931773</v>
      </c>
      <c r="BA13" s="133">
        <f t="shared" si="10"/>
        <v>97.989858514647992</v>
      </c>
      <c r="BB13" s="133">
        <f t="shared" si="11"/>
        <v>7.8098864330571818</v>
      </c>
      <c r="BC13" s="133">
        <f t="shared" si="12"/>
        <v>5.6415669113927578</v>
      </c>
      <c r="BD13" s="134">
        <f t="shared" si="13"/>
        <v>2.2228401077591027</v>
      </c>
      <c r="BF13" s="139">
        <f t="shared" si="14"/>
        <v>14.604554982369459</v>
      </c>
      <c r="BG13" s="140">
        <f t="shared" si="15"/>
        <v>1.9510507593771378</v>
      </c>
      <c r="BH13" s="140">
        <f t="shared" si="16"/>
        <v>0.28396061146098683</v>
      </c>
      <c r="BI13" s="140">
        <f t="shared" si="17"/>
        <v>18.127267083465501</v>
      </c>
      <c r="BJ13" s="140">
        <f t="shared" si="18"/>
        <v>6.8055771365432545</v>
      </c>
      <c r="BK13" s="140">
        <f t="shared" si="19"/>
        <v>0.54241107552847512</v>
      </c>
      <c r="BL13" s="140">
        <f t="shared" si="20"/>
        <v>0.78331232053558797</v>
      </c>
      <c r="BM13" s="140">
        <f t="shared" si="21"/>
        <v>0.30814443483920073</v>
      </c>
      <c r="BN13" s="140">
        <f t="shared" si="22"/>
        <v>16.839566353207584</v>
      </c>
      <c r="BO13" s="140">
        <f t="shared" si="23"/>
        <v>26.566712050912017</v>
      </c>
      <c r="BP13" s="140">
        <f t="shared" si="24"/>
        <v>43.406278404119604</v>
      </c>
      <c r="BQ13" s="140">
        <f t="shared" si="25"/>
        <v>22.409536259116951</v>
      </c>
      <c r="BR13" s="140">
        <f t="shared" si="26"/>
        <v>30</v>
      </c>
      <c r="BS13" s="141" t="str">
        <f t="shared" si="27"/>
        <v>○</v>
      </c>
    </row>
    <row r="14" spans="1:71" s="72" customFormat="1" ht="15" customHeight="1" x14ac:dyDescent="0.3">
      <c r="A14" s="117">
        <v>4</v>
      </c>
      <c r="B14" s="118">
        <v>41850</v>
      </c>
      <c r="C14" s="119">
        <v>0.41666666666666669</v>
      </c>
      <c r="D14" s="118">
        <v>41851</v>
      </c>
      <c r="E14" s="119">
        <v>0.41666666666666669</v>
      </c>
      <c r="F14" s="120">
        <v>30.65</v>
      </c>
      <c r="G14" s="121">
        <v>1.44</v>
      </c>
      <c r="H14" s="122">
        <f t="shared" si="0"/>
        <v>1.3894944837806684</v>
      </c>
      <c r="I14" s="123">
        <v>0.91984033527616793</v>
      </c>
      <c r="J14" s="120">
        <v>0.26295859437539632</v>
      </c>
      <c r="K14" s="120">
        <v>0.32479233342856861</v>
      </c>
      <c r="L14" s="120">
        <v>0.26449009171071136</v>
      </c>
      <c r="M14" s="120">
        <v>6.3327693915792557E-2</v>
      </c>
      <c r="N14" s="120">
        <v>5.9299937999409635E-2</v>
      </c>
      <c r="O14" s="120">
        <v>0.33915290145503518</v>
      </c>
      <c r="P14" s="120">
        <v>0</v>
      </c>
      <c r="Q14" s="120">
        <v>3.0029822343366697E-2</v>
      </c>
      <c r="R14" s="120">
        <v>3.625973228456353E-3</v>
      </c>
      <c r="S14" s="120">
        <v>2.7698379101155923E-2</v>
      </c>
      <c r="T14" s="120">
        <v>1.1510215506465452E-2</v>
      </c>
      <c r="U14" s="120">
        <v>7.2542923154631598E-3</v>
      </c>
      <c r="V14" s="120">
        <v>0</v>
      </c>
      <c r="W14" s="120">
        <v>-4.9380545281818792E-3</v>
      </c>
      <c r="X14" s="120">
        <v>0</v>
      </c>
      <c r="Y14" s="120">
        <v>0.34268518487855132</v>
      </c>
      <c r="Z14" s="120">
        <v>0.26740924948730471</v>
      </c>
      <c r="AA14" s="120">
        <v>0.4195570417681313</v>
      </c>
      <c r="AB14" s="120">
        <v>0.30252822439243515</v>
      </c>
      <c r="AC14" s="120">
        <v>0.32453774247615175</v>
      </c>
      <c r="AD14" s="120">
        <v>0.29635328412592482</v>
      </c>
      <c r="AE14" s="120">
        <v>5.0445453653134902E-2</v>
      </c>
      <c r="AF14" s="120">
        <v>0</v>
      </c>
      <c r="AG14" s="120">
        <v>0.37415198079662598</v>
      </c>
      <c r="AH14" s="120">
        <v>0</v>
      </c>
      <c r="AI14" s="120">
        <v>8.0915607666918771E-2</v>
      </c>
      <c r="AJ14" s="120">
        <v>6.9198033394564096E-2</v>
      </c>
      <c r="AK14" s="120">
        <v>0.3116981839120358</v>
      </c>
      <c r="AL14" s="124">
        <v>2.3410256235123567E-2</v>
      </c>
      <c r="AM14" s="78"/>
      <c r="AN14" s="126">
        <f t="shared" si="1"/>
        <v>4</v>
      </c>
      <c r="AO14" s="127">
        <f t="shared" si="1"/>
        <v>41850</v>
      </c>
      <c r="AP14" s="128">
        <f t="shared" si="1"/>
        <v>0.41666666666666669</v>
      </c>
      <c r="AQ14" s="127">
        <f t="shared" si="1"/>
        <v>41851</v>
      </c>
      <c r="AR14" s="128">
        <f t="shared" si="1"/>
        <v>0.41666666666666669</v>
      </c>
      <c r="AS14" s="129">
        <f t="shared" si="2"/>
        <v>67.342716546556787</v>
      </c>
      <c r="AT14" s="130">
        <f t="shared" si="3"/>
        <v>27.164658748731227</v>
      </c>
      <c r="AU14" s="122">
        <f t="shared" si="4"/>
        <v>16.201377764843294</v>
      </c>
      <c r="AV14" s="131">
        <f t="shared" si="5"/>
        <v>270.26800312095827</v>
      </c>
      <c r="AW14" s="132">
        <f t="shared" si="6"/>
        <v>98.427799628711838</v>
      </c>
      <c r="AX14" s="132">
        <f t="shared" si="7"/>
        <v>13.997320102709034</v>
      </c>
      <c r="AY14" s="132">
        <f t="shared" si="8"/>
        <v>1.6353852387202117</v>
      </c>
      <c r="AZ14" s="133">
        <f t="shared" si="9"/>
        <v>270.60272911106995</v>
      </c>
      <c r="BA14" s="133">
        <f t="shared" si="10"/>
        <v>16.531088073738612</v>
      </c>
      <c r="BB14" s="133">
        <f t="shared" si="11"/>
        <v>5.9592828054914966</v>
      </c>
      <c r="BC14" s="133">
        <f t="shared" si="12"/>
        <v>4.2951987201528761</v>
      </c>
      <c r="BD14" s="134">
        <f t="shared" si="13"/>
        <v>-1.7769248405887703</v>
      </c>
      <c r="BF14" s="139">
        <f t="shared" si="14"/>
        <v>13.676488463476403</v>
      </c>
      <c r="BG14" s="140">
        <f t="shared" si="15"/>
        <v>0.97245995352132331</v>
      </c>
      <c r="BH14" s="140">
        <f t="shared" si="16"/>
        <v>0.11361793840290328</v>
      </c>
      <c r="BI14" s="140">
        <f t="shared" si="17"/>
        <v>18.80004996979131</v>
      </c>
      <c r="BJ14" s="140">
        <f t="shared" si="18"/>
        <v>1.1484927844676096</v>
      </c>
      <c r="BK14" s="140">
        <f t="shared" si="19"/>
        <v>0.41401952927597102</v>
      </c>
      <c r="BL14" s="140">
        <f t="shared" si="20"/>
        <v>0.59657009173216768</v>
      </c>
      <c r="BM14" s="140">
        <f t="shared" si="21"/>
        <v>-0.24640990659590215</v>
      </c>
      <c r="BN14" s="140">
        <f t="shared" si="22"/>
        <v>14.762566355400629</v>
      </c>
      <c r="BO14" s="140">
        <f t="shared" si="23"/>
        <v>20.71272246867116</v>
      </c>
      <c r="BP14" s="140">
        <f t="shared" si="24"/>
        <v>35.475288824071789</v>
      </c>
      <c r="BQ14" s="140">
        <f t="shared" si="25"/>
        <v>16.772678420684333</v>
      </c>
      <c r="BR14" s="140">
        <f t="shared" si="26"/>
        <v>30</v>
      </c>
      <c r="BS14" s="141" t="str">
        <f t="shared" si="27"/>
        <v>○</v>
      </c>
    </row>
    <row r="15" spans="1:71" s="72" customFormat="1" ht="15" customHeight="1" x14ac:dyDescent="0.3">
      <c r="A15" s="117">
        <v>5</v>
      </c>
      <c r="B15" s="118">
        <v>41851</v>
      </c>
      <c r="C15" s="119">
        <v>0.41666666666666669</v>
      </c>
      <c r="D15" s="118">
        <v>41852</v>
      </c>
      <c r="E15" s="119">
        <v>0.41666666666666669</v>
      </c>
      <c r="F15" s="120">
        <v>30.65</v>
      </c>
      <c r="G15" s="121">
        <v>1.44</v>
      </c>
      <c r="H15" s="122">
        <f t="shared" si="0"/>
        <v>1.3894944837806684</v>
      </c>
      <c r="I15" s="123">
        <v>1.0955131016549484</v>
      </c>
      <c r="J15" s="120">
        <v>0.26295859437539632</v>
      </c>
      <c r="K15" s="120">
        <v>0.35287310700960772</v>
      </c>
      <c r="L15" s="120">
        <v>0.26449009171071136</v>
      </c>
      <c r="M15" s="120">
        <v>6.2499243154193473E-2</v>
      </c>
      <c r="N15" s="120">
        <v>5.9299937999409635E-2</v>
      </c>
      <c r="O15" s="120">
        <v>0.42111067759062026</v>
      </c>
      <c r="P15" s="120">
        <v>0</v>
      </c>
      <c r="Q15" s="120">
        <v>2.6981667234606179E-2</v>
      </c>
      <c r="R15" s="120">
        <v>3.625973228456353E-3</v>
      </c>
      <c r="S15" s="120">
        <v>3.1358027928492523E-2</v>
      </c>
      <c r="T15" s="120">
        <v>1.1510215506465452E-2</v>
      </c>
      <c r="U15" s="120">
        <v>8.0271938114691594E-3</v>
      </c>
      <c r="V15" s="120">
        <v>0</v>
      </c>
      <c r="W15" s="120">
        <v>5.6327370426510863E-3</v>
      </c>
      <c r="X15" s="120">
        <v>0</v>
      </c>
      <c r="Y15" s="120">
        <v>0.32238053392122212</v>
      </c>
      <c r="Z15" s="120">
        <v>0.26740924948730471</v>
      </c>
      <c r="AA15" s="120">
        <v>0.36207695239528809</v>
      </c>
      <c r="AB15" s="120">
        <v>0.30252822439243515</v>
      </c>
      <c r="AC15" s="120">
        <v>0.27723913399028993</v>
      </c>
      <c r="AD15" s="120">
        <v>0.29635328412592482</v>
      </c>
      <c r="AE15" s="120">
        <v>2.1310309322218956E-2</v>
      </c>
      <c r="AF15" s="120">
        <v>0</v>
      </c>
      <c r="AG15" s="120">
        <v>0.43043853345764471</v>
      </c>
      <c r="AH15" s="120">
        <v>0</v>
      </c>
      <c r="AI15" s="120">
        <v>8.4726493235384365E-2</v>
      </c>
      <c r="AJ15" s="120">
        <v>6.9198033394564096E-2</v>
      </c>
      <c r="AK15" s="120">
        <v>0.28038390722716705</v>
      </c>
      <c r="AL15" s="124">
        <v>2.3410256235123567E-2</v>
      </c>
      <c r="AM15" s="78"/>
      <c r="AN15" s="126">
        <f t="shared" si="1"/>
        <v>5</v>
      </c>
      <c r="AO15" s="127">
        <f t="shared" si="1"/>
        <v>41851</v>
      </c>
      <c r="AP15" s="128">
        <f t="shared" si="1"/>
        <v>0.41666666666666669</v>
      </c>
      <c r="AQ15" s="127">
        <f t="shared" si="1"/>
        <v>41852</v>
      </c>
      <c r="AR15" s="128">
        <f t="shared" si="1"/>
        <v>0.41666666666666669</v>
      </c>
      <c r="AS15" s="129">
        <f t="shared" si="2"/>
        <v>72.734279731574219</v>
      </c>
      <c r="AT15" s="130">
        <f t="shared" si="3"/>
        <v>13.82241495208387</v>
      </c>
      <c r="AU15" s="130">
        <f t="shared" si="4"/>
        <v>-1.4558938278534601</v>
      </c>
      <c r="AV15" s="131">
        <f t="shared" si="5"/>
        <v>222.0367238664474</v>
      </c>
      <c r="AW15" s="132">
        <f t="shared" si="6"/>
        <v>124.75077798649224</v>
      </c>
      <c r="AX15" s="132">
        <f t="shared" si="7"/>
        <v>20.515412388308167</v>
      </c>
      <c r="AY15" s="132">
        <f t="shared" si="8"/>
        <v>1.2990103007516882</v>
      </c>
      <c r="AZ15" s="133">
        <f t="shared" si="9"/>
        <v>335.99505746508163</v>
      </c>
      <c r="BA15" s="133">
        <f t="shared" si="10"/>
        <v>14.622679934226806</v>
      </c>
      <c r="BB15" s="133">
        <f t="shared" si="11"/>
        <v>7.3064944396781693</v>
      </c>
      <c r="BC15" s="133">
        <f t="shared" si="12"/>
        <v>4.7528264765327561</v>
      </c>
      <c r="BD15" s="134">
        <f t="shared" si="13"/>
        <v>2.026901548873012</v>
      </c>
      <c r="BF15" s="139">
        <f t="shared" si="14"/>
        <v>17.334051785957779</v>
      </c>
      <c r="BG15" s="140">
        <f t="shared" si="15"/>
        <v>1.4253026173019896</v>
      </c>
      <c r="BH15" s="140">
        <f t="shared" si="16"/>
        <v>9.024838236343688E-2</v>
      </c>
      <c r="BI15" s="140">
        <f t="shared" si="17"/>
        <v>23.343163946264983</v>
      </c>
      <c r="BJ15" s="140">
        <f t="shared" si="18"/>
        <v>1.0159066553349207</v>
      </c>
      <c r="BK15" s="140">
        <f t="shared" si="19"/>
        <v>0.50761668598534715</v>
      </c>
      <c r="BL15" s="140">
        <f t="shared" si="20"/>
        <v>0.66013107002213478</v>
      </c>
      <c r="BM15" s="140">
        <f t="shared" si="21"/>
        <v>0.28107470272710011</v>
      </c>
      <c r="BN15" s="140">
        <f t="shared" si="22"/>
        <v>18.849602785623208</v>
      </c>
      <c r="BO15" s="140">
        <f t="shared" si="23"/>
        <v>25.807893060334486</v>
      </c>
      <c r="BP15" s="140">
        <f t="shared" si="24"/>
        <v>44.657495845957698</v>
      </c>
      <c r="BQ15" s="140">
        <f t="shared" si="25"/>
        <v>15.581460946026437</v>
      </c>
      <c r="BR15" s="140">
        <f t="shared" si="26"/>
        <v>30</v>
      </c>
      <c r="BS15" s="141" t="str">
        <f t="shared" si="27"/>
        <v>○</v>
      </c>
    </row>
    <row r="16" spans="1:71" s="72" customFormat="1" ht="15" customHeight="1" x14ac:dyDescent="0.3">
      <c r="A16" s="117">
        <v>6</v>
      </c>
      <c r="B16" s="118">
        <v>41852</v>
      </c>
      <c r="C16" s="119">
        <v>0.41666666666666669</v>
      </c>
      <c r="D16" s="118">
        <v>41853</v>
      </c>
      <c r="E16" s="119">
        <v>0.41666666666666669</v>
      </c>
      <c r="F16" s="120">
        <v>29.7</v>
      </c>
      <c r="G16" s="121">
        <v>1.44</v>
      </c>
      <c r="H16" s="122">
        <f t="shared" si="0"/>
        <v>1.3938553022794846</v>
      </c>
      <c r="I16" s="123">
        <v>1.1363099827082961</v>
      </c>
      <c r="J16" s="120">
        <v>0.26295859437539632</v>
      </c>
      <c r="K16" s="120">
        <v>0.33305909224265562</v>
      </c>
      <c r="L16" s="120">
        <v>0.26449009171071136</v>
      </c>
      <c r="M16" s="120">
        <v>6.3546977285661693E-2</v>
      </c>
      <c r="N16" s="120">
        <v>5.9299937999409635E-2</v>
      </c>
      <c r="O16" s="120">
        <v>0.41182366006252308</v>
      </c>
      <c r="P16" s="120">
        <v>0</v>
      </c>
      <c r="Q16" s="120">
        <v>2.6321640542868417E-2</v>
      </c>
      <c r="R16" s="120">
        <v>3.625973228456353E-3</v>
      </c>
      <c r="S16" s="120">
        <v>3.0021979697992959E-2</v>
      </c>
      <c r="T16" s="120">
        <v>1.1510215506465452E-2</v>
      </c>
      <c r="U16" s="120">
        <v>7.4687335558766381E-3</v>
      </c>
      <c r="V16" s="120">
        <v>0</v>
      </c>
      <c r="W16" s="120">
        <v>1.3533535089833701E-3</v>
      </c>
      <c r="X16" s="120">
        <v>0</v>
      </c>
      <c r="Y16" s="120">
        <v>0.36245018994953249</v>
      </c>
      <c r="Z16" s="120">
        <v>0.26740924948730471</v>
      </c>
      <c r="AA16" s="120">
        <v>0.4131762030514049</v>
      </c>
      <c r="AB16" s="120">
        <v>0.30252822439243515</v>
      </c>
      <c r="AC16" s="120">
        <v>0.31671750028368562</v>
      </c>
      <c r="AD16" s="120">
        <v>0.29635328412592482</v>
      </c>
      <c r="AE16" s="120">
        <v>2.992518753253345E-2</v>
      </c>
      <c r="AF16" s="120">
        <v>0</v>
      </c>
      <c r="AG16" s="120">
        <v>0.43702215000662475</v>
      </c>
      <c r="AH16" s="120">
        <v>0</v>
      </c>
      <c r="AI16" s="120">
        <v>8.0329424309279626E-2</v>
      </c>
      <c r="AJ16" s="120">
        <v>6.9198033394564096E-2</v>
      </c>
      <c r="AK16" s="120">
        <v>0.21097178345692247</v>
      </c>
      <c r="AL16" s="124">
        <v>2.3410256235123567E-2</v>
      </c>
      <c r="AM16" s="78"/>
      <c r="AN16" s="126">
        <f t="shared" si="1"/>
        <v>6</v>
      </c>
      <c r="AO16" s="127">
        <f t="shared" si="1"/>
        <v>41852</v>
      </c>
      <c r="AP16" s="128">
        <f t="shared" si="1"/>
        <v>0.41666666666666669</v>
      </c>
      <c r="AQ16" s="127">
        <f t="shared" si="1"/>
        <v>41853</v>
      </c>
      <c r="AR16" s="128">
        <f t="shared" si="1"/>
        <v>0.41666666666666669</v>
      </c>
      <c r="AS16" s="129">
        <f t="shared" si="2"/>
        <v>79.475424187840545</v>
      </c>
      <c r="AT16" s="132">
        <f t="shared" si="3"/>
        <v>25.60318871898815</v>
      </c>
      <c r="AU16" s="130">
        <f t="shared" si="4"/>
        <v>12.748117225196847</v>
      </c>
      <c r="AV16" s="131">
        <f t="shared" si="5"/>
        <v>172.98502315919225</v>
      </c>
      <c r="AW16" s="132">
        <f t="shared" si="6"/>
        <v>130.45440154781792</v>
      </c>
      <c r="AX16" s="132">
        <f t="shared" si="7"/>
        <v>15.86639974963022</v>
      </c>
      <c r="AY16" s="132">
        <f t="shared" si="8"/>
        <v>1.7190255947938684</v>
      </c>
      <c r="AZ16" s="133">
        <f t="shared" si="9"/>
        <v>327.55713586408746</v>
      </c>
      <c r="BA16" s="133">
        <f t="shared" si="10"/>
        <v>14.164990565865171</v>
      </c>
      <c r="BB16" s="133">
        <f t="shared" si="11"/>
        <v>6.7933400797127845</v>
      </c>
      <c r="BC16" s="133">
        <f t="shared" si="12"/>
        <v>4.4083321738454195</v>
      </c>
      <c r="BD16" s="134">
        <f t="shared" si="13"/>
        <v>0.48547130637237645</v>
      </c>
      <c r="BF16" s="139">
        <f t="shared" si="14"/>
        <v>18.183455930312302</v>
      </c>
      <c r="BG16" s="140">
        <f t="shared" si="15"/>
        <v>1.1057732709553985</v>
      </c>
      <c r="BH16" s="140">
        <f t="shared" si="16"/>
        <v>0.11980364700287892</v>
      </c>
      <c r="BI16" s="140">
        <f t="shared" si="17"/>
        <v>22.828362531181988</v>
      </c>
      <c r="BJ16" s="140">
        <f t="shared" si="18"/>
        <v>0.98719736034850236</v>
      </c>
      <c r="BK16" s="140">
        <f t="shared" si="19"/>
        <v>0.47344665451477003</v>
      </c>
      <c r="BL16" s="140">
        <f t="shared" si="20"/>
        <v>0.61420506216090776</v>
      </c>
      <c r="BM16" s="140">
        <f t="shared" si="21"/>
        <v>6.7532610228711085E-2</v>
      </c>
      <c r="BN16" s="140">
        <f t="shared" si="22"/>
        <v>19.409032848270581</v>
      </c>
      <c r="BO16" s="140">
        <f t="shared" si="23"/>
        <v>24.970744218434881</v>
      </c>
      <c r="BP16" s="140">
        <f t="shared" si="24"/>
        <v>44.379777066705458</v>
      </c>
      <c r="BQ16" s="140">
        <f t="shared" si="25"/>
        <v>12.532084966999079</v>
      </c>
      <c r="BR16" s="140">
        <f t="shared" si="26"/>
        <v>30</v>
      </c>
      <c r="BS16" s="141" t="str">
        <f t="shared" si="27"/>
        <v>○</v>
      </c>
    </row>
    <row r="17" spans="1:72" s="77" customFormat="1" ht="15" customHeight="1" x14ac:dyDescent="0.3">
      <c r="A17" s="381">
        <v>7</v>
      </c>
      <c r="B17" s="143">
        <v>41853</v>
      </c>
      <c r="C17" s="144">
        <v>0.41666666666666669</v>
      </c>
      <c r="D17" s="143">
        <v>41854</v>
      </c>
      <c r="E17" s="144">
        <v>0.41666666666666669</v>
      </c>
      <c r="F17" s="146">
        <v>29.55</v>
      </c>
      <c r="G17" s="147">
        <v>1.44</v>
      </c>
      <c r="H17" s="148">
        <f t="shared" si="0"/>
        <v>1.3945463559742191</v>
      </c>
      <c r="I17" s="149">
        <v>1.1153601923692515</v>
      </c>
      <c r="J17" s="146">
        <v>0.26295859437539632</v>
      </c>
      <c r="K17" s="146">
        <v>0.33556076631970938</v>
      </c>
      <c r="L17" s="146">
        <v>0.26449009171071136</v>
      </c>
      <c r="M17" s="146">
        <v>6.5921813165066886E-2</v>
      </c>
      <c r="N17" s="146">
        <v>5.9299937999409635E-2</v>
      </c>
      <c r="O17" s="146">
        <v>0.42408848207904754</v>
      </c>
      <c r="P17" s="146">
        <v>0</v>
      </c>
      <c r="Q17" s="146">
        <v>2.7485623934462765E-2</v>
      </c>
      <c r="R17" s="146">
        <v>3.625973228456353E-3</v>
      </c>
      <c r="S17" s="146">
        <v>2.3980352794035816E-2</v>
      </c>
      <c r="T17" s="146">
        <v>1.1510215506465452E-2</v>
      </c>
      <c r="U17" s="146">
        <v>8.0061215508504969E-3</v>
      </c>
      <c r="V17" s="146">
        <v>0</v>
      </c>
      <c r="W17" s="146">
        <v>2.4391487102446617E-2</v>
      </c>
      <c r="X17" s="146">
        <v>0</v>
      </c>
      <c r="Y17" s="146">
        <v>0.36662121612619375</v>
      </c>
      <c r="Z17" s="146">
        <v>0.26740924948730471</v>
      </c>
      <c r="AA17" s="146">
        <v>0.37420290602695244</v>
      </c>
      <c r="AB17" s="146">
        <v>0.30252822439243515</v>
      </c>
      <c r="AC17" s="146">
        <v>0.27731128334664856</v>
      </c>
      <c r="AD17" s="146">
        <v>0.29635328412592482</v>
      </c>
      <c r="AE17" s="146">
        <v>3.8643377110947487E-2</v>
      </c>
      <c r="AF17" s="146">
        <v>0</v>
      </c>
      <c r="AG17" s="146">
        <v>0.43103772702166265</v>
      </c>
      <c r="AH17" s="146">
        <v>0</v>
      </c>
      <c r="AI17" s="146">
        <v>8.9146244567835958E-2</v>
      </c>
      <c r="AJ17" s="146">
        <v>6.9198033394564096E-2</v>
      </c>
      <c r="AK17" s="146">
        <v>0.28549629516425074</v>
      </c>
      <c r="AL17" s="150">
        <v>2.3410256235123567E-2</v>
      </c>
      <c r="AN17" s="151">
        <f t="shared" si="1"/>
        <v>7</v>
      </c>
      <c r="AO17" s="152">
        <f t="shared" si="1"/>
        <v>41853</v>
      </c>
      <c r="AP17" s="153">
        <f t="shared" si="1"/>
        <v>0.41666666666666669</v>
      </c>
      <c r="AQ17" s="152">
        <f t="shared" si="1"/>
        <v>41854</v>
      </c>
      <c r="AR17" s="153">
        <f t="shared" si="1"/>
        <v>0.41666666666666669</v>
      </c>
      <c r="AS17" s="154">
        <f t="shared" si="2"/>
        <v>79.165304116529484</v>
      </c>
      <c r="AT17" s="155">
        <f t="shared" si="3"/>
        <v>16.576814656580101</v>
      </c>
      <c r="AU17" s="155">
        <f t="shared" si="4"/>
        <v>0.36661467077144305</v>
      </c>
      <c r="AV17" s="156">
        <f t="shared" si="5"/>
        <v>239.07624069853571</v>
      </c>
      <c r="AW17" s="157">
        <f t="shared" si="6"/>
        <v>127.26199098532273</v>
      </c>
      <c r="AX17" s="157">
        <f t="shared" si="7"/>
        <v>16.437120802558383</v>
      </c>
      <c r="AY17" s="157">
        <f t="shared" si="8"/>
        <v>2.6789326185534823</v>
      </c>
      <c r="AZ17" s="158">
        <f t="shared" si="9"/>
        <v>337.14520300034769</v>
      </c>
      <c r="BA17" s="158">
        <f t="shared" si="10"/>
        <v>14.884085315453145</v>
      </c>
      <c r="BB17" s="158">
        <f t="shared" si="11"/>
        <v>4.5739511064198712</v>
      </c>
      <c r="BC17" s="158">
        <f t="shared" si="12"/>
        <v>4.7231774355796361</v>
      </c>
      <c r="BD17" s="159">
        <f t="shared" si="13"/>
        <v>8.7453124085670559</v>
      </c>
      <c r="BF17" s="139">
        <f t="shared" si="14"/>
        <v>17.747274578260573</v>
      </c>
      <c r="BG17" s="140">
        <f t="shared" si="15"/>
        <v>1.1461163458957915</v>
      </c>
      <c r="BH17" s="140">
        <f t="shared" si="16"/>
        <v>0.1867947860552116</v>
      </c>
      <c r="BI17" s="140">
        <f t="shared" si="17"/>
        <v>23.508230713916159</v>
      </c>
      <c r="BJ17" s="140">
        <f t="shared" si="18"/>
        <v>1.0378273469337282</v>
      </c>
      <c r="BK17" s="140">
        <f t="shared" si="19"/>
        <v>0.31892934239310389</v>
      </c>
      <c r="BL17" s="140">
        <f t="shared" si="20"/>
        <v>0.65839815385283684</v>
      </c>
      <c r="BM17" s="140">
        <f t="shared" si="21"/>
        <v>1.2171400749723862</v>
      </c>
      <c r="BN17" s="140">
        <f t="shared" si="22"/>
        <v>19.080185710211577</v>
      </c>
      <c r="BO17" s="140">
        <f t="shared" si="23"/>
        <v>26.740525632068213</v>
      </c>
      <c r="BP17" s="140">
        <f t="shared" si="24"/>
        <v>45.820711342279793</v>
      </c>
      <c r="BQ17" s="140">
        <f t="shared" si="25"/>
        <v>16.718072892046678</v>
      </c>
      <c r="BR17" s="140">
        <f t="shared" si="26"/>
        <v>30</v>
      </c>
      <c r="BS17" s="141" t="str">
        <f t="shared" si="27"/>
        <v>○</v>
      </c>
    </row>
    <row r="18" spans="1:72" s="72" customFormat="1" ht="15" customHeight="1" x14ac:dyDescent="0.3">
      <c r="A18" s="117"/>
      <c r="B18" s="118"/>
      <c r="C18" s="119"/>
      <c r="D18" s="118"/>
      <c r="E18" s="119"/>
      <c r="F18" s="120"/>
      <c r="G18" s="121"/>
      <c r="H18" s="122"/>
      <c r="I18" s="12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4"/>
      <c r="AM18" s="78"/>
      <c r="AN18" s="126">
        <f t="shared" si="1"/>
        <v>0</v>
      </c>
      <c r="AO18" s="127">
        <f t="shared" si="1"/>
        <v>0</v>
      </c>
      <c r="AP18" s="128">
        <f t="shared" si="1"/>
        <v>0</v>
      </c>
      <c r="AQ18" s="127">
        <f t="shared" si="1"/>
        <v>0</v>
      </c>
      <c r="AR18" s="128">
        <f t="shared" si="1"/>
        <v>0</v>
      </c>
      <c r="AS18" s="160" t="e">
        <f t="shared" si="2"/>
        <v>#DIV/0!</v>
      </c>
      <c r="AT18" s="122" t="e">
        <f t="shared" si="3"/>
        <v>#DIV/0!</v>
      </c>
      <c r="AU18" s="122" t="e">
        <f>1000/35.45*(AC18-AD18+AI18-AJ18)*20/H18</f>
        <v>#DIV/0!</v>
      </c>
      <c r="AV18" s="122" t="e">
        <f t="shared" si="5"/>
        <v>#DIV/0!</v>
      </c>
      <c r="AW18" s="122" t="e">
        <f t="shared" ref="AW18:AW24" si="28">1000/96.06*(I18-J18)*40/H18</f>
        <v>#DIV/0!</v>
      </c>
      <c r="AX18" s="122" t="e">
        <f t="shared" ref="AX18:AX24" si="29">1000/62.01*(K18-L18)*40/H18</f>
        <v>#DIV/0!</v>
      </c>
      <c r="AY18" s="122" t="e">
        <f t="shared" ref="AY18:AY24" si="30">1000/35.45*(M18-N18)*40/H18</f>
        <v>#DIV/0!</v>
      </c>
      <c r="AZ18" s="161" t="e">
        <f t="shared" ref="AZ18:AZ24" si="31">1000/18.04*(O18-P18)*40/H18</f>
        <v>#DIV/0!</v>
      </c>
      <c r="BA18" s="161" t="e">
        <f t="shared" ref="BA18:BA24" si="32">1000/22.99*(Q18-R18)*40/H18</f>
        <v>#DIV/0!</v>
      </c>
      <c r="BB18" s="161" t="e">
        <f t="shared" ref="BB18:BB24" si="33">1000/39.1*(S18-T18)*40/H18</f>
        <v>#DIV/0!</v>
      </c>
      <c r="BC18" s="161" t="e">
        <f t="shared" ref="BC18:BC24" si="34">1000/24.31*(U18-V18)*40/H18</f>
        <v>#DIV/0!</v>
      </c>
      <c r="BD18" s="162" t="e">
        <f t="shared" ref="BD18:BD24" si="35">1000/40*(W18-X18)*40/H18</f>
        <v>#DIV/0!</v>
      </c>
      <c r="BF18" s="163">
        <f t="shared" si="14"/>
        <v>0</v>
      </c>
      <c r="BG18" s="164">
        <f t="shared" si="15"/>
        <v>0</v>
      </c>
      <c r="BH18" s="164">
        <f t="shared" si="16"/>
        <v>0</v>
      </c>
      <c r="BI18" s="164">
        <f t="shared" si="17"/>
        <v>0</v>
      </c>
      <c r="BJ18" s="164">
        <f t="shared" si="18"/>
        <v>0</v>
      </c>
      <c r="BK18" s="164">
        <f t="shared" si="19"/>
        <v>0</v>
      </c>
      <c r="BL18" s="164">
        <f t="shared" si="20"/>
        <v>0</v>
      </c>
      <c r="BM18" s="164">
        <f t="shared" si="21"/>
        <v>0</v>
      </c>
      <c r="BN18" s="164">
        <f t="shared" si="22"/>
        <v>0</v>
      </c>
      <c r="BO18" s="164">
        <f t="shared" si="23"/>
        <v>0</v>
      </c>
      <c r="BP18" s="164">
        <f t="shared" si="24"/>
        <v>0</v>
      </c>
      <c r="BQ18" s="164" t="e">
        <f t="shared" si="25"/>
        <v>#DIV/0!</v>
      </c>
      <c r="BR18" s="164">
        <f t="shared" si="26"/>
        <v>30</v>
      </c>
      <c r="BS18" s="165" t="e">
        <f t="shared" si="27"/>
        <v>#DIV/0!</v>
      </c>
    </row>
    <row r="19" spans="1:72" s="72" customFormat="1" ht="15" customHeight="1" x14ac:dyDescent="0.3">
      <c r="A19" s="117"/>
      <c r="B19" s="118"/>
      <c r="C19" s="119"/>
      <c r="D19" s="118"/>
      <c r="E19" s="119"/>
      <c r="F19" s="120"/>
      <c r="G19" s="121"/>
      <c r="H19" s="122"/>
      <c r="I19" s="12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4"/>
      <c r="AM19" s="78"/>
      <c r="AN19" s="126">
        <f t="shared" si="1"/>
        <v>0</v>
      </c>
      <c r="AO19" s="127">
        <f t="shared" si="1"/>
        <v>0</v>
      </c>
      <c r="AP19" s="128">
        <f t="shared" si="1"/>
        <v>0</v>
      </c>
      <c r="AQ19" s="127">
        <f t="shared" si="1"/>
        <v>0</v>
      </c>
      <c r="AR19" s="128">
        <f t="shared" si="1"/>
        <v>0</v>
      </c>
      <c r="AS19" s="160" t="e">
        <f t="shared" si="2"/>
        <v>#DIV/0!</v>
      </c>
      <c r="AT19" s="122" t="e">
        <f t="shared" si="3"/>
        <v>#DIV/0!</v>
      </c>
      <c r="AU19" s="122" t="e">
        <f t="shared" ref="AU19:AU38" si="36">1000/35.45*(AC19-AD19+AI19-AJ19)*20/H19</f>
        <v>#DIV/0!</v>
      </c>
      <c r="AV19" s="122" t="e">
        <f t="shared" si="5"/>
        <v>#DIV/0!</v>
      </c>
      <c r="AW19" s="122" t="e">
        <f t="shared" si="28"/>
        <v>#DIV/0!</v>
      </c>
      <c r="AX19" s="122" t="e">
        <f t="shared" si="29"/>
        <v>#DIV/0!</v>
      </c>
      <c r="AY19" s="122" t="e">
        <f t="shared" si="30"/>
        <v>#DIV/0!</v>
      </c>
      <c r="AZ19" s="161" t="e">
        <f t="shared" si="31"/>
        <v>#DIV/0!</v>
      </c>
      <c r="BA19" s="161" t="e">
        <f t="shared" si="32"/>
        <v>#DIV/0!</v>
      </c>
      <c r="BB19" s="161" t="e">
        <f t="shared" si="33"/>
        <v>#DIV/0!</v>
      </c>
      <c r="BC19" s="161" t="e">
        <f t="shared" si="34"/>
        <v>#DIV/0!</v>
      </c>
      <c r="BD19" s="162" t="e">
        <f t="shared" si="35"/>
        <v>#DIV/0!</v>
      </c>
      <c r="BF19" s="139">
        <f t="shared" si="14"/>
        <v>0</v>
      </c>
      <c r="BG19" s="140">
        <f t="shared" si="15"/>
        <v>0</v>
      </c>
      <c r="BH19" s="140">
        <f t="shared" si="16"/>
        <v>0</v>
      </c>
      <c r="BI19" s="140">
        <f t="shared" si="17"/>
        <v>0</v>
      </c>
      <c r="BJ19" s="140">
        <f t="shared" si="18"/>
        <v>0</v>
      </c>
      <c r="BK19" s="140">
        <f t="shared" si="19"/>
        <v>0</v>
      </c>
      <c r="BL19" s="140">
        <f t="shared" si="20"/>
        <v>0</v>
      </c>
      <c r="BM19" s="140">
        <f t="shared" si="21"/>
        <v>0</v>
      </c>
      <c r="BN19" s="140">
        <f t="shared" si="22"/>
        <v>0</v>
      </c>
      <c r="BO19" s="140">
        <f t="shared" si="23"/>
        <v>0</v>
      </c>
      <c r="BP19" s="140">
        <f t="shared" si="24"/>
        <v>0</v>
      </c>
      <c r="BQ19" s="140" t="e">
        <f t="shared" si="25"/>
        <v>#DIV/0!</v>
      </c>
      <c r="BR19" s="140">
        <f t="shared" si="26"/>
        <v>30</v>
      </c>
      <c r="BS19" s="141" t="e">
        <f t="shared" si="27"/>
        <v>#DIV/0!</v>
      </c>
    </row>
    <row r="20" spans="1:72" s="72" customFormat="1" ht="15" customHeight="1" x14ac:dyDescent="0.3">
      <c r="A20" s="117"/>
      <c r="B20" s="118"/>
      <c r="C20" s="119"/>
      <c r="D20" s="118"/>
      <c r="E20" s="119"/>
      <c r="F20" s="120"/>
      <c r="G20" s="121"/>
      <c r="H20" s="122"/>
      <c r="I20" s="123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4"/>
      <c r="AM20" s="78"/>
      <c r="AN20" s="126">
        <f t="shared" si="1"/>
        <v>0</v>
      </c>
      <c r="AO20" s="127">
        <f t="shared" si="1"/>
        <v>0</v>
      </c>
      <c r="AP20" s="128">
        <f t="shared" si="1"/>
        <v>0</v>
      </c>
      <c r="AQ20" s="127">
        <f t="shared" si="1"/>
        <v>0</v>
      </c>
      <c r="AR20" s="128">
        <f t="shared" si="1"/>
        <v>0</v>
      </c>
      <c r="AS20" s="160" t="e">
        <f t="shared" si="2"/>
        <v>#DIV/0!</v>
      </c>
      <c r="AT20" s="122" t="e">
        <f t="shared" si="3"/>
        <v>#DIV/0!</v>
      </c>
      <c r="AU20" s="122" t="e">
        <f t="shared" si="36"/>
        <v>#DIV/0!</v>
      </c>
      <c r="AV20" s="122" t="e">
        <f t="shared" si="5"/>
        <v>#DIV/0!</v>
      </c>
      <c r="AW20" s="122" t="e">
        <f t="shared" si="28"/>
        <v>#DIV/0!</v>
      </c>
      <c r="AX20" s="122" t="e">
        <f t="shared" si="29"/>
        <v>#DIV/0!</v>
      </c>
      <c r="AY20" s="122" t="e">
        <f t="shared" si="30"/>
        <v>#DIV/0!</v>
      </c>
      <c r="AZ20" s="161" t="e">
        <f t="shared" si="31"/>
        <v>#DIV/0!</v>
      </c>
      <c r="BA20" s="161" t="e">
        <f t="shared" si="32"/>
        <v>#DIV/0!</v>
      </c>
      <c r="BB20" s="161" t="e">
        <f t="shared" si="33"/>
        <v>#DIV/0!</v>
      </c>
      <c r="BC20" s="161" t="e">
        <f t="shared" si="34"/>
        <v>#DIV/0!</v>
      </c>
      <c r="BD20" s="162" t="e">
        <f t="shared" si="35"/>
        <v>#DIV/0!</v>
      </c>
      <c r="BF20" s="139">
        <f t="shared" si="14"/>
        <v>0</v>
      </c>
      <c r="BG20" s="140">
        <f t="shared" si="15"/>
        <v>0</v>
      </c>
      <c r="BH20" s="140">
        <f t="shared" si="16"/>
        <v>0</v>
      </c>
      <c r="BI20" s="140">
        <f t="shared" si="17"/>
        <v>0</v>
      </c>
      <c r="BJ20" s="140">
        <f t="shared" si="18"/>
        <v>0</v>
      </c>
      <c r="BK20" s="140">
        <f t="shared" si="19"/>
        <v>0</v>
      </c>
      <c r="BL20" s="140">
        <f t="shared" si="20"/>
        <v>0</v>
      </c>
      <c r="BM20" s="140">
        <f t="shared" si="21"/>
        <v>0</v>
      </c>
      <c r="BN20" s="140">
        <f t="shared" si="22"/>
        <v>0</v>
      </c>
      <c r="BO20" s="140">
        <f t="shared" si="23"/>
        <v>0</v>
      </c>
      <c r="BP20" s="140">
        <f t="shared" si="24"/>
        <v>0</v>
      </c>
      <c r="BQ20" s="140" t="e">
        <f t="shared" si="25"/>
        <v>#DIV/0!</v>
      </c>
      <c r="BR20" s="140">
        <f t="shared" si="26"/>
        <v>30</v>
      </c>
      <c r="BS20" s="141" t="e">
        <f t="shared" si="27"/>
        <v>#DIV/0!</v>
      </c>
    </row>
    <row r="21" spans="1:72" s="72" customFormat="1" ht="15" customHeight="1" x14ac:dyDescent="0.3">
      <c r="A21" s="117"/>
      <c r="B21" s="118"/>
      <c r="C21" s="119"/>
      <c r="D21" s="118"/>
      <c r="E21" s="119"/>
      <c r="F21" s="120"/>
      <c r="G21" s="121"/>
      <c r="H21" s="122"/>
      <c r="I21" s="123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4"/>
      <c r="AM21" s="78"/>
      <c r="AN21" s="126">
        <f t="shared" si="1"/>
        <v>0</v>
      </c>
      <c r="AO21" s="127">
        <f t="shared" si="1"/>
        <v>0</v>
      </c>
      <c r="AP21" s="128">
        <f t="shared" si="1"/>
        <v>0</v>
      </c>
      <c r="AQ21" s="127">
        <f t="shared" si="1"/>
        <v>0</v>
      </c>
      <c r="AR21" s="128">
        <f t="shared" si="1"/>
        <v>0</v>
      </c>
      <c r="AS21" s="160" t="e">
        <f t="shared" si="2"/>
        <v>#DIV/0!</v>
      </c>
      <c r="AT21" s="122" t="e">
        <f t="shared" si="3"/>
        <v>#DIV/0!</v>
      </c>
      <c r="AU21" s="122" t="e">
        <f t="shared" si="36"/>
        <v>#DIV/0!</v>
      </c>
      <c r="AV21" s="122" t="e">
        <f t="shared" si="5"/>
        <v>#DIV/0!</v>
      </c>
      <c r="AW21" s="122" t="e">
        <f t="shared" si="28"/>
        <v>#DIV/0!</v>
      </c>
      <c r="AX21" s="122" t="e">
        <f t="shared" si="29"/>
        <v>#DIV/0!</v>
      </c>
      <c r="AY21" s="122" t="e">
        <f t="shared" si="30"/>
        <v>#DIV/0!</v>
      </c>
      <c r="AZ21" s="161" t="e">
        <f t="shared" si="31"/>
        <v>#DIV/0!</v>
      </c>
      <c r="BA21" s="161" t="e">
        <f t="shared" si="32"/>
        <v>#DIV/0!</v>
      </c>
      <c r="BB21" s="161" t="e">
        <f t="shared" si="33"/>
        <v>#DIV/0!</v>
      </c>
      <c r="BC21" s="161" t="e">
        <f t="shared" si="34"/>
        <v>#DIV/0!</v>
      </c>
      <c r="BD21" s="162" t="e">
        <f t="shared" si="35"/>
        <v>#DIV/0!</v>
      </c>
      <c r="BF21" s="139">
        <f t="shared" si="14"/>
        <v>0</v>
      </c>
      <c r="BG21" s="140">
        <f t="shared" si="15"/>
        <v>0</v>
      </c>
      <c r="BH21" s="140">
        <f t="shared" si="16"/>
        <v>0</v>
      </c>
      <c r="BI21" s="140">
        <f t="shared" si="17"/>
        <v>0</v>
      </c>
      <c r="BJ21" s="140">
        <f t="shared" si="18"/>
        <v>0</v>
      </c>
      <c r="BK21" s="140">
        <f t="shared" si="19"/>
        <v>0</v>
      </c>
      <c r="BL21" s="140">
        <f t="shared" si="20"/>
        <v>0</v>
      </c>
      <c r="BM21" s="140">
        <f t="shared" si="21"/>
        <v>0</v>
      </c>
      <c r="BN21" s="140">
        <f t="shared" si="22"/>
        <v>0</v>
      </c>
      <c r="BO21" s="140">
        <f t="shared" si="23"/>
        <v>0</v>
      </c>
      <c r="BP21" s="140">
        <f t="shared" si="24"/>
        <v>0</v>
      </c>
      <c r="BQ21" s="140" t="e">
        <f t="shared" si="25"/>
        <v>#DIV/0!</v>
      </c>
      <c r="BR21" s="140">
        <f t="shared" si="26"/>
        <v>30</v>
      </c>
      <c r="BS21" s="141" t="e">
        <f t="shared" si="27"/>
        <v>#DIV/0!</v>
      </c>
    </row>
    <row r="22" spans="1:72" s="72" customFormat="1" ht="15" customHeight="1" x14ac:dyDescent="0.3">
      <c r="A22" s="117"/>
      <c r="B22" s="118"/>
      <c r="C22" s="119"/>
      <c r="D22" s="118"/>
      <c r="E22" s="119"/>
      <c r="F22" s="120"/>
      <c r="G22" s="121"/>
      <c r="H22" s="122"/>
      <c r="I22" s="12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4"/>
      <c r="AM22" s="78"/>
      <c r="AN22" s="126">
        <f t="shared" si="1"/>
        <v>0</v>
      </c>
      <c r="AO22" s="127">
        <f t="shared" si="1"/>
        <v>0</v>
      </c>
      <c r="AP22" s="128">
        <f t="shared" si="1"/>
        <v>0</v>
      </c>
      <c r="AQ22" s="127">
        <f t="shared" si="1"/>
        <v>0</v>
      </c>
      <c r="AR22" s="128">
        <f t="shared" si="1"/>
        <v>0</v>
      </c>
      <c r="AS22" s="160" t="e">
        <f t="shared" si="2"/>
        <v>#DIV/0!</v>
      </c>
      <c r="AT22" s="122" t="e">
        <f t="shared" si="3"/>
        <v>#DIV/0!</v>
      </c>
      <c r="AU22" s="122" t="e">
        <f t="shared" si="36"/>
        <v>#DIV/0!</v>
      </c>
      <c r="AV22" s="122" t="e">
        <f t="shared" si="5"/>
        <v>#DIV/0!</v>
      </c>
      <c r="AW22" s="122" t="e">
        <f t="shared" si="28"/>
        <v>#DIV/0!</v>
      </c>
      <c r="AX22" s="122" t="e">
        <f t="shared" si="29"/>
        <v>#DIV/0!</v>
      </c>
      <c r="AY22" s="122" t="e">
        <f t="shared" si="30"/>
        <v>#DIV/0!</v>
      </c>
      <c r="AZ22" s="161" t="e">
        <f t="shared" si="31"/>
        <v>#DIV/0!</v>
      </c>
      <c r="BA22" s="161" t="e">
        <f t="shared" si="32"/>
        <v>#DIV/0!</v>
      </c>
      <c r="BB22" s="161" t="e">
        <f t="shared" si="33"/>
        <v>#DIV/0!</v>
      </c>
      <c r="BC22" s="161" t="e">
        <f t="shared" si="34"/>
        <v>#DIV/0!</v>
      </c>
      <c r="BD22" s="162" t="e">
        <f t="shared" si="35"/>
        <v>#DIV/0!</v>
      </c>
      <c r="BF22" s="139">
        <f t="shared" si="14"/>
        <v>0</v>
      </c>
      <c r="BG22" s="140">
        <f t="shared" si="15"/>
        <v>0</v>
      </c>
      <c r="BH22" s="140">
        <f t="shared" si="16"/>
        <v>0</v>
      </c>
      <c r="BI22" s="140">
        <f t="shared" si="17"/>
        <v>0</v>
      </c>
      <c r="BJ22" s="140">
        <f t="shared" si="18"/>
        <v>0</v>
      </c>
      <c r="BK22" s="140">
        <f t="shared" si="19"/>
        <v>0</v>
      </c>
      <c r="BL22" s="140">
        <f t="shared" si="20"/>
        <v>0</v>
      </c>
      <c r="BM22" s="140">
        <f t="shared" si="21"/>
        <v>0</v>
      </c>
      <c r="BN22" s="140">
        <f t="shared" si="22"/>
        <v>0</v>
      </c>
      <c r="BO22" s="140">
        <f t="shared" si="23"/>
        <v>0</v>
      </c>
      <c r="BP22" s="140">
        <f t="shared" si="24"/>
        <v>0</v>
      </c>
      <c r="BQ22" s="140" t="e">
        <f t="shared" si="25"/>
        <v>#DIV/0!</v>
      </c>
      <c r="BR22" s="140">
        <f t="shared" si="26"/>
        <v>30</v>
      </c>
      <c r="BS22" s="141" t="e">
        <f t="shared" si="27"/>
        <v>#DIV/0!</v>
      </c>
    </row>
    <row r="23" spans="1:72" s="72" customFormat="1" ht="15" customHeight="1" x14ac:dyDescent="0.3">
      <c r="A23" s="117"/>
      <c r="B23" s="118"/>
      <c r="C23" s="119"/>
      <c r="D23" s="118"/>
      <c r="E23" s="119"/>
      <c r="F23" s="120"/>
      <c r="G23" s="121"/>
      <c r="H23" s="122"/>
      <c r="I23" s="123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4"/>
      <c r="AM23" s="78"/>
      <c r="AN23" s="126">
        <f t="shared" si="1"/>
        <v>0</v>
      </c>
      <c r="AO23" s="127">
        <f t="shared" si="1"/>
        <v>0</v>
      </c>
      <c r="AP23" s="128">
        <f t="shared" si="1"/>
        <v>0</v>
      </c>
      <c r="AQ23" s="127">
        <f t="shared" si="1"/>
        <v>0</v>
      </c>
      <c r="AR23" s="128">
        <f t="shared" si="1"/>
        <v>0</v>
      </c>
      <c r="AS23" s="160" t="e">
        <f t="shared" si="2"/>
        <v>#DIV/0!</v>
      </c>
      <c r="AT23" s="122" t="e">
        <f t="shared" si="3"/>
        <v>#DIV/0!</v>
      </c>
      <c r="AU23" s="122" t="e">
        <f t="shared" si="36"/>
        <v>#DIV/0!</v>
      </c>
      <c r="AV23" s="122" t="e">
        <f t="shared" si="5"/>
        <v>#DIV/0!</v>
      </c>
      <c r="AW23" s="122" t="e">
        <f t="shared" si="28"/>
        <v>#DIV/0!</v>
      </c>
      <c r="AX23" s="122" t="e">
        <f t="shared" si="29"/>
        <v>#DIV/0!</v>
      </c>
      <c r="AY23" s="122" t="e">
        <f t="shared" si="30"/>
        <v>#DIV/0!</v>
      </c>
      <c r="AZ23" s="161" t="e">
        <f t="shared" si="31"/>
        <v>#DIV/0!</v>
      </c>
      <c r="BA23" s="161" t="e">
        <f t="shared" si="32"/>
        <v>#DIV/0!</v>
      </c>
      <c r="BB23" s="161" t="e">
        <f t="shared" si="33"/>
        <v>#DIV/0!</v>
      </c>
      <c r="BC23" s="161" t="e">
        <f t="shared" si="34"/>
        <v>#DIV/0!</v>
      </c>
      <c r="BD23" s="162" t="e">
        <f t="shared" si="35"/>
        <v>#DIV/0!</v>
      </c>
      <c r="BF23" s="139">
        <f t="shared" si="14"/>
        <v>0</v>
      </c>
      <c r="BG23" s="140">
        <f t="shared" si="15"/>
        <v>0</v>
      </c>
      <c r="BH23" s="140">
        <f t="shared" si="16"/>
        <v>0</v>
      </c>
      <c r="BI23" s="140">
        <f t="shared" si="17"/>
        <v>0</v>
      </c>
      <c r="BJ23" s="140">
        <f t="shared" si="18"/>
        <v>0</v>
      </c>
      <c r="BK23" s="140">
        <f t="shared" si="19"/>
        <v>0</v>
      </c>
      <c r="BL23" s="140">
        <f t="shared" si="20"/>
        <v>0</v>
      </c>
      <c r="BM23" s="140">
        <f t="shared" si="21"/>
        <v>0</v>
      </c>
      <c r="BN23" s="140">
        <f t="shared" si="22"/>
        <v>0</v>
      </c>
      <c r="BO23" s="140">
        <f t="shared" si="23"/>
        <v>0</v>
      </c>
      <c r="BP23" s="140">
        <f t="shared" si="24"/>
        <v>0</v>
      </c>
      <c r="BQ23" s="140" t="e">
        <f t="shared" si="25"/>
        <v>#DIV/0!</v>
      </c>
      <c r="BR23" s="140">
        <f t="shared" si="26"/>
        <v>30</v>
      </c>
      <c r="BS23" s="141" t="e">
        <f t="shared" si="27"/>
        <v>#DIV/0!</v>
      </c>
    </row>
    <row r="24" spans="1:72" s="77" customFormat="1" ht="15" customHeight="1" thickBot="1" x14ac:dyDescent="0.35">
      <c r="A24" s="142"/>
      <c r="B24" s="143"/>
      <c r="C24" s="144"/>
      <c r="D24" s="143"/>
      <c r="E24" s="144"/>
      <c r="F24" s="146"/>
      <c r="G24" s="147"/>
      <c r="H24" s="148"/>
      <c r="I24" s="149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50"/>
      <c r="AM24" s="166"/>
      <c r="AN24" s="151">
        <f t="shared" si="1"/>
        <v>0</v>
      </c>
      <c r="AO24" s="152">
        <f t="shared" si="1"/>
        <v>0</v>
      </c>
      <c r="AP24" s="153">
        <f t="shared" si="1"/>
        <v>0</v>
      </c>
      <c r="AQ24" s="152">
        <f t="shared" si="1"/>
        <v>0</v>
      </c>
      <c r="AR24" s="153">
        <f t="shared" si="1"/>
        <v>0</v>
      </c>
      <c r="AS24" s="167" t="e">
        <f t="shared" si="2"/>
        <v>#DIV/0!</v>
      </c>
      <c r="AT24" s="168" t="e">
        <f t="shared" si="3"/>
        <v>#DIV/0!</v>
      </c>
      <c r="AU24" s="168" t="e">
        <f t="shared" si="36"/>
        <v>#DIV/0!</v>
      </c>
      <c r="AV24" s="168" t="e">
        <f t="shared" si="5"/>
        <v>#DIV/0!</v>
      </c>
      <c r="AW24" s="168" t="e">
        <f t="shared" si="28"/>
        <v>#DIV/0!</v>
      </c>
      <c r="AX24" s="168" t="e">
        <f t="shared" si="29"/>
        <v>#DIV/0!</v>
      </c>
      <c r="AY24" s="168" t="e">
        <f t="shared" si="30"/>
        <v>#DIV/0!</v>
      </c>
      <c r="AZ24" s="169" t="e">
        <f t="shared" si="31"/>
        <v>#DIV/0!</v>
      </c>
      <c r="BA24" s="169" t="e">
        <f t="shared" si="32"/>
        <v>#DIV/0!</v>
      </c>
      <c r="BB24" s="169" t="e">
        <f t="shared" si="33"/>
        <v>#DIV/0!</v>
      </c>
      <c r="BC24" s="169" t="e">
        <f t="shared" si="34"/>
        <v>#DIV/0!</v>
      </c>
      <c r="BD24" s="170" t="e">
        <f t="shared" si="35"/>
        <v>#DIV/0!</v>
      </c>
      <c r="BE24" s="171"/>
      <c r="BF24" s="172">
        <f t="shared" si="14"/>
        <v>0</v>
      </c>
      <c r="BG24" s="173">
        <f t="shared" si="15"/>
        <v>0</v>
      </c>
      <c r="BH24" s="173">
        <f t="shared" si="16"/>
        <v>0</v>
      </c>
      <c r="BI24" s="173">
        <f t="shared" si="17"/>
        <v>0</v>
      </c>
      <c r="BJ24" s="173">
        <f t="shared" si="18"/>
        <v>0</v>
      </c>
      <c r="BK24" s="173">
        <f t="shared" si="19"/>
        <v>0</v>
      </c>
      <c r="BL24" s="173">
        <f t="shared" si="20"/>
        <v>0</v>
      </c>
      <c r="BM24" s="173">
        <f t="shared" si="21"/>
        <v>0</v>
      </c>
      <c r="BN24" s="173">
        <f t="shared" si="22"/>
        <v>0</v>
      </c>
      <c r="BO24" s="173">
        <f t="shared" si="23"/>
        <v>0</v>
      </c>
      <c r="BP24" s="173">
        <f t="shared" si="24"/>
        <v>0</v>
      </c>
      <c r="BQ24" s="173" t="e">
        <f t="shared" si="25"/>
        <v>#DIV/0!</v>
      </c>
      <c r="BR24" s="173">
        <f t="shared" si="26"/>
        <v>30</v>
      </c>
      <c r="BS24" s="174" t="e">
        <f t="shared" si="27"/>
        <v>#DIV/0!</v>
      </c>
      <c r="BT24" s="171"/>
    </row>
    <row r="25" spans="1:72" s="72" customFormat="1" ht="15" customHeight="1" x14ac:dyDescent="0.3">
      <c r="A25" s="117"/>
      <c r="B25" s="118"/>
      <c r="C25" s="119"/>
      <c r="D25" s="118"/>
      <c r="E25" s="119"/>
      <c r="F25" s="175"/>
      <c r="G25" s="176"/>
      <c r="H25" s="177"/>
      <c r="I25" s="17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4"/>
      <c r="AM25" s="82"/>
      <c r="AN25" s="126">
        <f t="shared" si="1"/>
        <v>0</v>
      </c>
      <c r="AO25" s="127">
        <f t="shared" si="1"/>
        <v>0</v>
      </c>
      <c r="AP25" s="128">
        <f t="shared" si="1"/>
        <v>0</v>
      </c>
      <c r="AQ25" s="127">
        <f t="shared" si="1"/>
        <v>0</v>
      </c>
      <c r="AR25" s="128">
        <f t="shared" si="1"/>
        <v>0</v>
      </c>
      <c r="AS25" s="160" t="e">
        <f t="shared" si="2"/>
        <v>#DIV/0!</v>
      </c>
      <c r="AT25" s="122" t="e">
        <f t="shared" si="3"/>
        <v>#DIV/0!</v>
      </c>
      <c r="AU25" s="122" t="e">
        <f t="shared" si="36"/>
        <v>#DIV/0!</v>
      </c>
      <c r="AV25" s="122" t="e">
        <f t="shared" si="5"/>
        <v>#DIV/0!</v>
      </c>
      <c r="AW25" s="122" t="e">
        <f t="shared" ref="AW25:AW31" si="37">(I25-J25)*20/H25</f>
        <v>#DIV/0!</v>
      </c>
      <c r="AX25" s="122" t="e">
        <f t="shared" ref="AX25:AX31" si="38">(K25-L25)*20/H25</f>
        <v>#DIV/0!</v>
      </c>
      <c r="AY25" s="122" t="e">
        <f t="shared" ref="AY25:AY31" si="39">(M25-N25)*20/H25</f>
        <v>#DIV/0!</v>
      </c>
      <c r="AZ25" s="161" t="e">
        <f t="shared" ref="AZ25:AZ31" si="40">(O25-P25)*20/H25</f>
        <v>#DIV/0!</v>
      </c>
      <c r="BA25" s="161" t="e">
        <f t="shared" ref="BA25:BA31" si="41">(Q25-R25)*20/H25</f>
        <v>#DIV/0!</v>
      </c>
      <c r="BB25" s="161" t="e">
        <f t="shared" ref="BB25:BB31" si="42">(S25-T25)*20/H25</f>
        <v>#DIV/0!</v>
      </c>
      <c r="BC25" s="161" t="e">
        <f t="shared" ref="BC25:BC31" si="43">(U25-V25)*20/H25</f>
        <v>#DIV/0!</v>
      </c>
      <c r="BD25" s="162" t="e">
        <f t="shared" ref="BD25:BD31" si="44">(W25-X25)*20/H25</f>
        <v>#DIV/0!</v>
      </c>
      <c r="BE25" s="179"/>
      <c r="BF25" s="163">
        <f t="shared" si="14"/>
        <v>0</v>
      </c>
      <c r="BG25" s="164">
        <f t="shared" si="15"/>
        <v>0</v>
      </c>
      <c r="BH25" s="164">
        <f t="shared" si="16"/>
        <v>0</v>
      </c>
      <c r="BI25" s="164">
        <f t="shared" si="17"/>
        <v>0</v>
      </c>
      <c r="BJ25" s="164">
        <f t="shared" si="18"/>
        <v>0</v>
      </c>
      <c r="BK25" s="164">
        <f t="shared" si="19"/>
        <v>0</v>
      </c>
      <c r="BL25" s="164">
        <f t="shared" si="20"/>
        <v>0</v>
      </c>
      <c r="BM25" s="164">
        <f t="shared" si="21"/>
        <v>0</v>
      </c>
      <c r="BN25" s="164">
        <f t="shared" si="22"/>
        <v>0</v>
      </c>
      <c r="BO25" s="164">
        <f t="shared" si="23"/>
        <v>0</v>
      </c>
      <c r="BP25" s="164">
        <f t="shared" si="24"/>
        <v>0</v>
      </c>
      <c r="BQ25" s="164" t="e">
        <f t="shared" si="25"/>
        <v>#DIV/0!</v>
      </c>
      <c r="BR25" s="164">
        <f t="shared" si="26"/>
        <v>30</v>
      </c>
      <c r="BS25" s="165" t="e">
        <f t="shared" si="27"/>
        <v>#DIV/0!</v>
      </c>
    </row>
    <row r="26" spans="1:72" s="72" customFormat="1" ht="15" customHeight="1" x14ac:dyDescent="0.3">
      <c r="A26" s="117"/>
      <c r="B26" s="118"/>
      <c r="C26" s="119"/>
      <c r="D26" s="118"/>
      <c r="E26" s="119"/>
      <c r="F26" s="175"/>
      <c r="G26" s="176"/>
      <c r="H26" s="177"/>
      <c r="I26" s="17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4"/>
      <c r="AM26" s="78"/>
      <c r="AN26" s="126">
        <f t="shared" si="1"/>
        <v>0</v>
      </c>
      <c r="AO26" s="127">
        <f t="shared" si="1"/>
        <v>0</v>
      </c>
      <c r="AP26" s="128">
        <f t="shared" si="1"/>
        <v>0</v>
      </c>
      <c r="AQ26" s="127">
        <f t="shared" si="1"/>
        <v>0</v>
      </c>
      <c r="AR26" s="128">
        <f t="shared" si="1"/>
        <v>0</v>
      </c>
      <c r="AS26" s="160" t="e">
        <f t="shared" si="2"/>
        <v>#DIV/0!</v>
      </c>
      <c r="AT26" s="122" t="e">
        <f t="shared" si="3"/>
        <v>#DIV/0!</v>
      </c>
      <c r="AU26" s="122" t="e">
        <f t="shared" si="36"/>
        <v>#DIV/0!</v>
      </c>
      <c r="AV26" s="122" t="e">
        <f t="shared" si="5"/>
        <v>#DIV/0!</v>
      </c>
      <c r="AW26" s="122" t="e">
        <f t="shared" si="37"/>
        <v>#DIV/0!</v>
      </c>
      <c r="AX26" s="122" t="e">
        <f t="shared" si="38"/>
        <v>#DIV/0!</v>
      </c>
      <c r="AY26" s="122" t="e">
        <f t="shared" si="39"/>
        <v>#DIV/0!</v>
      </c>
      <c r="AZ26" s="161" t="e">
        <f t="shared" si="40"/>
        <v>#DIV/0!</v>
      </c>
      <c r="BA26" s="161" t="e">
        <f t="shared" si="41"/>
        <v>#DIV/0!</v>
      </c>
      <c r="BB26" s="161" t="e">
        <f t="shared" si="42"/>
        <v>#DIV/0!</v>
      </c>
      <c r="BC26" s="161" t="e">
        <f t="shared" si="43"/>
        <v>#DIV/0!</v>
      </c>
      <c r="BD26" s="162" t="e">
        <f t="shared" si="44"/>
        <v>#DIV/0!</v>
      </c>
      <c r="BE26" s="179"/>
      <c r="BF26" s="139">
        <f t="shared" si="14"/>
        <v>0</v>
      </c>
      <c r="BG26" s="140">
        <f t="shared" si="15"/>
        <v>0</v>
      </c>
      <c r="BH26" s="140">
        <f t="shared" si="16"/>
        <v>0</v>
      </c>
      <c r="BI26" s="140">
        <f t="shared" si="17"/>
        <v>0</v>
      </c>
      <c r="BJ26" s="140">
        <f t="shared" si="18"/>
        <v>0</v>
      </c>
      <c r="BK26" s="140">
        <f t="shared" si="19"/>
        <v>0</v>
      </c>
      <c r="BL26" s="140">
        <f t="shared" si="20"/>
        <v>0</v>
      </c>
      <c r="BM26" s="140">
        <f t="shared" si="21"/>
        <v>0</v>
      </c>
      <c r="BN26" s="140">
        <f t="shared" si="22"/>
        <v>0</v>
      </c>
      <c r="BO26" s="140">
        <f t="shared" si="23"/>
        <v>0</v>
      </c>
      <c r="BP26" s="140">
        <f t="shared" si="24"/>
        <v>0</v>
      </c>
      <c r="BQ26" s="140" t="e">
        <f t="shared" si="25"/>
        <v>#DIV/0!</v>
      </c>
      <c r="BR26" s="140">
        <f t="shared" si="26"/>
        <v>30</v>
      </c>
      <c r="BS26" s="141" t="e">
        <f t="shared" si="27"/>
        <v>#DIV/0!</v>
      </c>
    </row>
    <row r="27" spans="1:72" s="72" customFormat="1" ht="15" customHeight="1" x14ac:dyDescent="0.3">
      <c r="A27" s="117"/>
      <c r="B27" s="118"/>
      <c r="C27" s="119"/>
      <c r="D27" s="118"/>
      <c r="E27" s="119"/>
      <c r="F27" s="175"/>
      <c r="G27" s="176"/>
      <c r="H27" s="177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4"/>
      <c r="AM27" s="78"/>
      <c r="AN27" s="126">
        <f t="shared" si="1"/>
        <v>0</v>
      </c>
      <c r="AO27" s="127">
        <f t="shared" si="1"/>
        <v>0</v>
      </c>
      <c r="AP27" s="128">
        <f t="shared" si="1"/>
        <v>0</v>
      </c>
      <c r="AQ27" s="127">
        <f t="shared" si="1"/>
        <v>0</v>
      </c>
      <c r="AR27" s="128">
        <f t="shared" si="1"/>
        <v>0</v>
      </c>
      <c r="AS27" s="160" t="e">
        <f t="shared" si="2"/>
        <v>#DIV/0!</v>
      </c>
      <c r="AT27" s="122" t="e">
        <f t="shared" si="3"/>
        <v>#DIV/0!</v>
      </c>
      <c r="AU27" s="122" t="e">
        <f t="shared" si="36"/>
        <v>#DIV/0!</v>
      </c>
      <c r="AV27" s="122" t="e">
        <f t="shared" si="5"/>
        <v>#DIV/0!</v>
      </c>
      <c r="AW27" s="122" t="e">
        <f t="shared" si="37"/>
        <v>#DIV/0!</v>
      </c>
      <c r="AX27" s="122" t="e">
        <f t="shared" si="38"/>
        <v>#DIV/0!</v>
      </c>
      <c r="AY27" s="122" t="e">
        <f t="shared" si="39"/>
        <v>#DIV/0!</v>
      </c>
      <c r="AZ27" s="161" t="e">
        <f t="shared" si="40"/>
        <v>#DIV/0!</v>
      </c>
      <c r="BA27" s="161" t="e">
        <f t="shared" si="41"/>
        <v>#DIV/0!</v>
      </c>
      <c r="BB27" s="161" t="e">
        <f t="shared" si="42"/>
        <v>#DIV/0!</v>
      </c>
      <c r="BC27" s="161" t="e">
        <f t="shared" si="43"/>
        <v>#DIV/0!</v>
      </c>
      <c r="BD27" s="162" t="e">
        <f t="shared" si="44"/>
        <v>#DIV/0!</v>
      </c>
      <c r="BE27" s="179"/>
      <c r="BF27" s="139">
        <f t="shared" si="14"/>
        <v>0</v>
      </c>
      <c r="BG27" s="140">
        <f t="shared" si="15"/>
        <v>0</v>
      </c>
      <c r="BH27" s="140">
        <f t="shared" si="16"/>
        <v>0</v>
      </c>
      <c r="BI27" s="140">
        <f t="shared" si="17"/>
        <v>0</v>
      </c>
      <c r="BJ27" s="140">
        <f t="shared" si="18"/>
        <v>0</v>
      </c>
      <c r="BK27" s="140">
        <f t="shared" si="19"/>
        <v>0</v>
      </c>
      <c r="BL27" s="140">
        <f t="shared" si="20"/>
        <v>0</v>
      </c>
      <c r="BM27" s="140">
        <f t="shared" si="21"/>
        <v>0</v>
      </c>
      <c r="BN27" s="140">
        <f t="shared" si="22"/>
        <v>0</v>
      </c>
      <c r="BO27" s="140">
        <f t="shared" si="23"/>
        <v>0</v>
      </c>
      <c r="BP27" s="140">
        <f t="shared" si="24"/>
        <v>0</v>
      </c>
      <c r="BQ27" s="140" t="e">
        <f t="shared" si="25"/>
        <v>#DIV/0!</v>
      </c>
      <c r="BR27" s="140">
        <f t="shared" si="26"/>
        <v>30</v>
      </c>
      <c r="BS27" s="141" t="e">
        <f t="shared" si="27"/>
        <v>#DIV/0!</v>
      </c>
    </row>
    <row r="28" spans="1:72" s="72" customFormat="1" ht="15" customHeight="1" x14ac:dyDescent="0.3">
      <c r="A28" s="117"/>
      <c r="B28" s="118"/>
      <c r="C28" s="119"/>
      <c r="D28" s="118"/>
      <c r="E28" s="119"/>
      <c r="F28" s="175"/>
      <c r="G28" s="176"/>
      <c r="H28" s="177"/>
      <c r="I28" s="17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4"/>
      <c r="AM28" s="78"/>
      <c r="AN28" s="126">
        <f t="shared" si="1"/>
        <v>0</v>
      </c>
      <c r="AO28" s="127">
        <f t="shared" si="1"/>
        <v>0</v>
      </c>
      <c r="AP28" s="128">
        <f t="shared" si="1"/>
        <v>0</v>
      </c>
      <c r="AQ28" s="127">
        <f t="shared" si="1"/>
        <v>0</v>
      </c>
      <c r="AR28" s="128">
        <f t="shared" si="1"/>
        <v>0</v>
      </c>
      <c r="AS28" s="160" t="e">
        <f t="shared" si="2"/>
        <v>#DIV/0!</v>
      </c>
      <c r="AT28" s="122" t="e">
        <f t="shared" si="3"/>
        <v>#DIV/0!</v>
      </c>
      <c r="AU28" s="122" t="e">
        <f t="shared" si="36"/>
        <v>#DIV/0!</v>
      </c>
      <c r="AV28" s="122" t="e">
        <f t="shared" si="5"/>
        <v>#DIV/0!</v>
      </c>
      <c r="AW28" s="122" t="e">
        <f t="shared" si="37"/>
        <v>#DIV/0!</v>
      </c>
      <c r="AX28" s="122" t="e">
        <f t="shared" si="38"/>
        <v>#DIV/0!</v>
      </c>
      <c r="AY28" s="122" t="e">
        <f t="shared" si="39"/>
        <v>#DIV/0!</v>
      </c>
      <c r="AZ28" s="161" t="e">
        <f t="shared" si="40"/>
        <v>#DIV/0!</v>
      </c>
      <c r="BA28" s="161" t="e">
        <f t="shared" si="41"/>
        <v>#DIV/0!</v>
      </c>
      <c r="BB28" s="161" t="e">
        <f t="shared" si="42"/>
        <v>#DIV/0!</v>
      </c>
      <c r="BC28" s="161" t="e">
        <f t="shared" si="43"/>
        <v>#DIV/0!</v>
      </c>
      <c r="BD28" s="162" t="e">
        <f t="shared" si="44"/>
        <v>#DIV/0!</v>
      </c>
      <c r="BE28" s="179"/>
      <c r="BF28" s="139">
        <f t="shared" si="14"/>
        <v>0</v>
      </c>
      <c r="BG28" s="140">
        <f t="shared" si="15"/>
        <v>0</v>
      </c>
      <c r="BH28" s="140">
        <f t="shared" si="16"/>
        <v>0</v>
      </c>
      <c r="BI28" s="140">
        <f t="shared" si="17"/>
        <v>0</v>
      </c>
      <c r="BJ28" s="140">
        <f t="shared" si="18"/>
        <v>0</v>
      </c>
      <c r="BK28" s="140">
        <f t="shared" si="19"/>
        <v>0</v>
      </c>
      <c r="BL28" s="140">
        <f t="shared" si="20"/>
        <v>0</v>
      </c>
      <c r="BM28" s="140">
        <f t="shared" si="21"/>
        <v>0</v>
      </c>
      <c r="BN28" s="140">
        <f t="shared" si="22"/>
        <v>0</v>
      </c>
      <c r="BO28" s="140">
        <f t="shared" si="23"/>
        <v>0</v>
      </c>
      <c r="BP28" s="140">
        <f t="shared" si="24"/>
        <v>0</v>
      </c>
      <c r="BQ28" s="140" t="e">
        <f t="shared" si="25"/>
        <v>#DIV/0!</v>
      </c>
      <c r="BR28" s="140">
        <f t="shared" si="26"/>
        <v>30</v>
      </c>
      <c r="BS28" s="141" t="e">
        <f t="shared" si="27"/>
        <v>#DIV/0!</v>
      </c>
    </row>
    <row r="29" spans="1:72" s="72" customFormat="1" ht="15" customHeight="1" x14ac:dyDescent="0.3">
      <c r="A29" s="117"/>
      <c r="B29" s="118"/>
      <c r="C29" s="119"/>
      <c r="D29" s="118"/>
      <c r="E29" s="119"/>
      <c r="F29" s="175"/>
      <c r="G29" s="176"/>
      <c r="H29" s="177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4"/>
      <c r="AM29" s="78"/>
      <c r="AN29" s="126">
        <f t="shared" si="1"/>
        <v>0</v>
      </c>
      <c r="AO29" s="127">
        <f t="shared" si="1"/>
        <v>0</v>
      </c>
      <c r="AP29" s="128">
        <f t="shared" si="1"/>
        <v>0</v>
      </c>
      <c r="AQ29" s="127">
        <f t="shared" si="1"/>
        <v>0</v>
      </c>
      <c r="AR29" s="128">
        <f t="shared" si="1"/>
        <v>0</v>
      </c>
      <c r="AS29" s="160" t="e">
        <f t="shared" si="2"/>
        <v>#DIV/0!</v>
      </c>
      <c r="AT29" s="122" t="e">
        <f t="shared" si="3"/>
        <v>#DIV/0!</v>
      </c>
      <c r="AU29" s="122" t="e">
        <f t="shared" si="36"/>
        <v>#DIV/0!</v>
      </c>
      <c r="AV29" s="122" t="e">
        <f t="shared" si="5"/>
        <v>#DIV/0!</v>
      </c>
      <c r="AW29" s="122" t="e">
        <f t="shared" si="37"/>
        <v>#DIV/0!</v>
      </c>
      <c r="AX29" s="122" t="e">
        <f t="shared" si="38"/>
        <v>#DIV/0!</v>
      </c>
      <c r="AY29" s="122" t="e">
        <f t="shared" si="39"/>
        <v>#DIV/0!</v>
      </c>
      <c r="AZ29" s="161" t="e">
        <f t="shared" si="40"/>
        <v>#DIV/0!</v>
      </c>
      <c r="BA29" s="161" t="e">
        <f t="shared" si="41"/>
        <v>#DIV/0!</v>
      </c>
      <c r="BB29" s="161" t="e">
        <f t="shared" si="42"/>
        <v>#DIV/0!</v>
      </c>
      <c r="BC29" s="161" t="e">
        <f t="shared" si="43"/>
        <v>#DIV/0!</v>
      </c>
      <c r="BD29" s="162" t="e">
        <f t="shared" si="44"/>
        <v>#DIV/0!</v>
      </c>
      <c r="BE29" s="179"/>
      <c r="BF29" s="139">
        <f t="shared" si="14"/>
        <v>0</v>
      </c>
      <c r="BG29" s="140">
        <f t="shared" si="15"/>
        <v>0</v>
      </c>
      <c r="BH29" s="140">
        <f t="shared" si="16"/>
        <v>0</v>
      </c>
      <c r="BI29" s="140">
        <f t="shared" si="17"/>
        <v>0</v>
      </c>
      <c r="BJ29" s="140">
        <f t="shared" si="18"/>
        <v>0</v>
      </c>
      <c r="BK29" s="140">
        <f t="shared" si="19"/>
        <v>0</v>
      </c>
      <c r="BL29" s="140">
        <f t="shared" si="20"/>
        <v>0</v>
      </c>
      <c r="BM29" s="140">
        <f t="shared" si="21"/>
        <v>0</v>
      </c>
      <c r="BN29" s="140">
        <f t="shared" si="22"/>
        <v>0</v>
      </c>
      <c r="BO29" s="140">
        <f t="shared" si="23"/>
        <v>0</v>
      </c>
      <c r="BP29" s="140">
        <f t="shared" si="24"/>
        <v>0</v>
      </c>
      <c r="BQ29" s="140" t="e">
        <f t="shared" si="25"/>
        <v>#DIV/0!</v>
      </c>
      <c r="BR29" s="140">
        <f t="shared" si="26"/>
        <v>30</v>
      </c>
      <c r="BS29" s="141" t="e">
        <f t="shared" si="27"/>
        <v>#DIV/0!</v>
      </c>
    </row>
    <row r="30" spans="1:72" s="72" customFormat="1" ht="15" customHeight="1" x14ac:dyDescent="0.3">
      <c r="A30" s="117"/>
      <c r="B30" s="118"/>
      <c r="C30" s="119"/>
      <c r="D30" s="118"/>
      <c r="E30" s="119"/>
      <c r="F30" s="175"/>
      <c r="G30" s="176"/>
      <c r="H30" s="177"/>
      <c r="I30" s="17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4"/>
      <c r="AM30" s="78"/>
      <c r="AN30" s="126">
        <f t="shared" si="1"/>
        <v>0</v>
      </c>
      <c r="AO30" s="127">
        <f t="shared" si="1"/>
        <v>0</v>
      </c>
      <c r="AP30" s="128">
        <f t="shared" si="1"/>
        <v>0</v>
      </c>
      <c r="AQ30" s="127">
        <f t="shared" si="1"/>
        <v>0</v>
      </c>
      <c r="AR30" s="128">
        <f t="shared" si="1"/>
        <v>0</v>
      </c>
      <c r="AS30" s="160" t="e">
        <f t="shared" si="2"/>
        <v>#DIV/0!</v>
      </c>
      <c r="AT30" s="122" t="e">
        <f t="shared" si="3"/>
        <v>#DIV/0!</v>
      </c>
      <c r="AU30" s="122" t="e">
        <f t="shared" si="36"/>
        <v>#DIV/0!</v>
      </c>
      <c r="AV30" s="122" t="e">
        <f t="shared" si="5"/>
        <v>#DIV/0!</v>
      </c>
      <c r="AW30" s="122" t="e">
        <f t="shared" si="37"/>
        <v>#DIV/0!</v>
      </c>
      <c r="AX30" s="122" t="e">
        <f t="shared" si="38"/>
        <v>#DIV/0!</v>
      </c>
      <c r="AY30" s="122" t="e">
        <f t="shared" si="39"/>
        <v>#DIV/0!</v>
      </c>
      <c r="AZ30" s="161" t="e">
        <f t="shared" si="40"/>
        <v>#DIV/0!</v>
      </c>
      <c r="BA30" s="161" t="e">
        <f t="shared" si="41"/>
        <v>#DIV/0!</v>
      </c>
      <c r="BB30" s="161" t="e">
        <f t="shared" si="42"/>
        <v>#DIV/0!</v>
      </c>
      <c r="BC30" s="161" t="e">
        <f t="shared" si="43"/>
        <v>#DIV/0!</v>
      </c>
      <c r="BD30" s="162" t="e">
        <f t="shared" si="44"/>
        <v>#DIV/0!</v>
      </c>
      <c r="BE30" s="179"/>
      <c r="BF30" s="139">
        <f t="shared" si="14"/>
        <v>0</v>
      </c>
      <c r="BG30" s="140">
        <f t="shared" si="15"/>
        <v>0</v>
      </c>
      <c r="BH30" s="140">
        <f t="shared" si="16"/>
        <v>0</v>
      </c>
      <c r="BI30" s="140">
        <f t="shared" si="17"/>
        <v>0</v>
      </c>
      <c r="BJ30" s="140">
        <f t="shared" si="18"/>
        <v>0</v>
      </c>
      <c r="BK30" s="140">
        <f t="shared" si="19"/>
        <v>0</v>
      </c>
      <c r="BL30" s="140">
        <f t="shared" si="20"/>
        <v>0</v>
      </c>
      <c r="BM30" s="140">
        <f t="shared" si="21"/>
        <v>0</v>
      </c>
      <c r="BN30" s="140">
        <f t="shared" si="22"/>
        <v>0</v>
      </c>
      <c r="BO30" s="140">
        <f t="shared" si="23"/>
        <v>0</v>
      </c>
      <c r="BP30" s="140">
        <f t="shared" si="24"/>
        <v>0</v>
      </c>
      <c r="BQ30" s="140" t="e">
        <f t="shared" si="25"/>
        <v>#DIV/0!</v>
      </c>
      <c r="BR30" s="140">
        <f t="shared" si="26"/>
        <v>30</v>
      </c>
      <c r="BS30" s="141" t="e">
        <f t="shared" si="27"/>
        <v>#DIV/0!</v>
      </c>
    </row>
    <row r="31" spans="1:72" s="72" customFormat="1" ht="15" customHeight="1" x14ac:dyDescent="0.3">
      <c r="A31" s="142"/>
      <c r="B31" s="143"/>
      <c r="C31" s="144"/>
      <c r="D31" s="143"/>
      <c r="E31" s="144"/>
      <c r="F31" s="180"/>
      <c r="G31" s="180"/>
      <c r="H31" s="181"/>
      <c r="I31" s="182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50"/>
      <c r="AM31" s="77"/>
      <c r="AN31" s="151">
        <f t="shared" si="1"/>
        <v>0</v>
      </c>
      <c r="AO31" s="152">
        <f t="shared" si="1"/>
        <v>0</v>
      </c>
      <c r="AP31" s="153">
        <f t="shared" si="1"/>
        <v>0</v>
      </c>
      <c r="AQ31" s="152">
        <f t="shared" si="1"/>
        <v>0</v>
      </c>
      <c r="AR31" s="153">
        <f t="shared" si="1"/>
        <v>0</v>
      </c>
      <c r="AS31" s="183" t="e">
        <f t="shared" si="2"/>
        <v>#DIV/0!</v>
      </c>
      <c r="AT31" s="148" t="e">
        <f t="shared" si="3"/>
        <v>#DIV/0!</v>
      </c>
      <c r="AU31" s="148" t="e">
        <f t="shared" si="36"/>
        <v>#DIV/0!</v>
      </c>
      <c r="AV31" s="148" t="e">
        <f t="shared" si="5"/>
        <v>#DIV/0!</v>
      </c>
      <c r="AW31" s="148" t="e">
        <f t="shared" si="37"/>
        <v>#DIV/0!</v>
      </c>
      <c r="AX31" s="148" t="e">
        <f t="shared" si="38"/>
        <v>#DIV/0!</v>
      </c>
      <c r="AY31" s="148" t="e">
        <f t="shared" si="39"/>
        <v>#DIV/0!</v>
      </c>
      <c r="AZ31" s="184" t="e">
        <f t="shared" si="40"/>
        <v>#DIV/0!</v>
      </c>
      <c r="BA31" s="184" t="e">
        <f t="shared" si="41"/>
        <v>#DIV/0!</v>
      </c>
      <c r="BB31" s="184" t="e">
        <f t="shared" si="42"/>
        <v>#DIV/0!</v>
      </c>
      <c r="BC31" s="184" t="e">
        <f t="shared" si="43"/>
        <v>#DIV/0!</v>
      </c>
      <c r="BD31" s="185" t="e">
        <f t="shared" si="44"/>
        <v>#DIV/0!</v>
      </c>
      <c r="BE31" s="179"/>
      <c r="BF31" s="139">
        <f t="shared" si="14"/>
        <v>0</v>
      </c>
      <c r="BG31" s="140">
        <f t="shared" si="15"/>
        <v>0</v>
      </c>
      <c r="BH31" s="140">
        <f t="shared" si="16"/>
        <v>0</v>
      </c>
      <c r="BI31" s="140">
        <f t="shared" si="17"/>
        <v>0</v>
      </c>
      <c r="BJ31" s="140">
        <f t="shared" si="18"/>
        <v>0</v>
      </c>
      <c r="BK31" s="140">
        <f t="shared" si="19"/>
        <v>0</v>
      </c>
      <c r="BL31" s="140">
        <f t="shared" si="20"/>
        <v>0</v>
      </c>
      <c r="BM31" s="140">
        <f t="shared" si="21"/>
        <v>0</v>
      </c>
      <c r="BN31" s="140">
        <f t="shared" si="22"/>
        <v>0</v>
      </c>
      <c r="BO31" s="140">
        <f t="shared" si="23"/>
        <v>0</v>
      </c>
      <c r="BP31" s="140">
        <f t="shared" si="24"/>
        <v>0</v>
      </c>
      <c r="BQ31" s="140" t="e">
        <f t="shared" si="25"/>
        <v>#DIV/0!</v>
      </c>
      <c r="BR31" s="140">
        <f t="shared" si="26"/>
        <v>30</v>
      </c>
      <c r="BS31" s="141" t="e">
        <f t="shared" si="27"/>
        <v>#DIV/0!</v>
      </c>
    </row>
    <row r="32" spans="1:72" s="72" customFormat="1" ht="15" customHeight="1" x14ac:dyDescent="0.3">
      <c r="A32" s="117"/>
      <c r="B32" s="118"/>
      <c r="C32" s="119"/>
      <c r="D32" s="118"/>
      <c r="E32" s="119"/>
      <c r="F32" s="175"/>
      <c r="G32" s="176"/>
      <c r="H32" s="177"/>
      <c r="I32" s="17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4"/>
      <c r="AM32" s="78"/>
      <c r="AN32" s="126">
        <f t="shared" si="1"/>
        <v>0</v>
      </c>
      <c r="AO32" s="127">
        <f t="shared" si="1"/>
        <v>0</v>
      </c>
      <c r="AP32" s="128">
        <f t="shared" si="1"/>
        <v>0</v>
      </c>
      <c r="AQ32" s="127">
        <f t="shared" si="1"/>
        <v>0</v>
      </c>
      <c r="AR32" s="128">
        <f t="shared" si="1"/>
        <v>0</v>
      </c>
      <c r="AS32" s="160" t="e">
        <f t="shared" si="2"/>
        <v>#DIV/0!</v>
      </c>
      <c r="AT32" s="122" t="e">
        <f t="shared" si="3"/>
        <v>#DIV/0!</v>
      </c>
      <c r="AU32" s="122" t="e">
        <f t="shared" si="36"/>
        <v>#DIV/0!</v>
      </c>
      <c r="AV32" s="122" t="e">
        <f t="shared" si="5"/>
        <v>#DIV/0!</v>
      </c>
      <c r="AW32" s="122" t="e">
        <f t="shared" ref="AW32:AW38" si="45">(I32-J32)*40/H32</f>
        <v>#DIV/0!</v>
      </c>
      <c r="AX32" s="122" t="e">
        <f t="shared" ref="AX32:AX38" si="46">(K32-L32)*40/H32</f>
        <v>#DIV/0!</v>
      </c>
      <c r="AY32" s="122" t="e">
        <f t="shared" ref="AY32:AY38" si="47">(M32-N32)*40/H32</f>
        <v>#DIV/0!</v>
      </c>
      <c r="AZ32" s="161" t="e">
        <f t="shared" ref="AZ32:AZ38" si="48">(O32-P32)*40/H32</f>
        <v>#DIV/0!</v>
      </c>
      <c r="BA32" s="161" t="e">
        <f t="shared" ref="BA32:BA38" si="49">(Q32-R32)*40/H32</f>
        <v>#DIV/0!</v>
      </c>
      <c r="BB32" s="161" t="e">
        <f t="shared" ref="BB32:BB38" si="50">(S32-T32)*40/H32</f>
        <v>#DIV/0!</v>
      </c>
      <c r="BC32" s="161" t="e">
        <f t="shared" ref="BC32:BC38" si="51">(U32-V32)*40/H32</f>
        <v>#DIV/0!</v>
      </c>
      <c r="BD32" s="162" t="e">
        <f t="shared" ref="BD32:BD38" si="52">(W32-X32)*40/H32</f>
        <v>#DIV/0!</v>
      </c>
      <c r="BE32" s="179"/>
      <c r="BF32" s="139">
        <f t="shared" si="14"/>
        <v>0</v>
      </c>
      <c r="BG32" s="140">
        <f t="shared" si="15"/>
        <v>0</v>
      </c>
      <c r="BH32" s="140">
        <f t="shared" si="16"/>
        <v>0</v>
      </c>
      <c r="BI32" s="140">
        <f t="shared" si="17"/>
        <v>0</v>
      </c>
      <c r="BJ32" s="140">
        <f t="shared" si="18"/>
        <v>0</v>
      </c>
      <c r="BK32" s="140">
        <f t="shared" si="19"/>
        <v>0</v>
      </c>
      <c r="BL32" s="140">
        <f t="shared" si="20"/>
        <v>0</v>
      </c>
      <c r="BM32" s="140">
        <f t="shared" si="21"/>
        <v>0</v>
      </c>
      <c r="BN32" s="140">
        <f t="shared" si="22"/>
        <v>0</v>
      </c>
      <c r="BO32" s="140">
        <f t="shared" si="23"/>
        <v>0</v>
      </c>
      <c r="BP32" s="140">
        <f t="shared" si="24"/>
        <v>0</v>
      </c>
      <c r="BQ32" s="140" t="e">
        <f t="shared" si="25"/>
        <v>#DIV/0!</v>
      </c>
      <c r="BR32" s="140">
        <f t="shared" si="26"/>
        <v>30</v>
      </c>
      <c r="BS32" s="141" t="e">
        <f t="shared" si="27"/>
        <v>#DIV/0!</v>
      </c>
    </row>
    <row r="33" spans="1:71" s="72" customFormat="1" ht="15" customHeight="1" x14ac:dyDescent="0.3">
      <c r="A33" s="117"/>
      <c r="B33" s="186"/>
      <c r="C33" s="119"/>
      <c r="D33" s="186"/>
      <c r="E33" s="119"/>
      <c r="F33" s="175"/>
      <c r="G33" s="176"/>
      <c r="H33" s="177"/>
      <c r="I33" s="178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4"/>
      <c r="AM33" s="78"/>
      <c r="AN33" s="126">
        <f t="shared" si="1"/>
        <v>0</v>
      </c>
      <c r="AO33" s="127">
        <f t="shared" si="1"/>
        <v>0</v>
      </c>
      <c r="AP33" s="128">
        <f t="shared" si="1"/>
        <v>0</v>
      </c>
      <c r="AQ33" s="127">
        <f t="shared" si="1"/>
        <v>0</v>
      </c>
      <c r="AR33" s="128">
        <f t="shared" si="1"/>
        <v>0</v>
      </c>
      <c r="AS33" s="160" t="e">
        <f t="shared" si="2"/>
        <v>#DIV/0!</v>
      </c>
      <c r="AT33" s="122" t="e">
        <f t="shared" si="3"/>
        <v>#DIV/0!</v>
      </c>
      <c r="AU33" s="122" t="e">
        <f t="shared" si="36"/>
        <v>#DIV/0!</v>
      </c>
      <c r="AV33" s="122" t="e">
        <f t="shared" si="5"/>
        <v>#DIV/0!</v>
      </c>
      <c r="AW33" s="122" t="e">
        <f t="shared" si="45"/>
        <v>#DIV/0!</v>
      </c>
      <c r="AX33" s="122" t="e">
        <f t="shared" si="46"/>
        <v>#DIV/0!</v>
      </c>
      <c r="AY33" s="122" t="e">
        <f t="shared" si="47"/>
        <v>#DIV/0!</v>
      </c>
      <c r="AZ33" s="161" t="e">
        <f t="shared" si="48"/>
        <v>#DIV/0!</v>
      </c>
      <c r="BA33" s="161" t="e">
        <f t="shared" si="49"/>
        <v>#DIV/0!</v>
      </c>
      <c r="BB33" s="161" t="e">
        <f t="shared" si="50"/>
        <v>#DIV/0!</v>
      </c>
      <c r="BC33" s="161" t="e">
        <f t="shared" si="51"/>
        <v>#DIV/0!</v>
      </c>
      <c r="BD33" s="162" t="e">
        <f t="shared" si="52"/>
        <v>#DIV/0!</v>
      </c>
      <c r="BE33" s="179"/>
      <c r="BF33" s="139">
        <f t="shared" si="14"/>
        <v>0</v>
      </c>
      <c r="BG33" s="140">
        <f t="shared" si="15"/>
        <v>0</v>
      </c>
      <c r="BH33" s="140">
        <f t="shared" si="16"/>
        <v>0</v>
      </c>
      <c r="BI33" s="140">
        <f t="shared" si="17"/>
        <v>0</v>
      </c>
      <c r="BJ33" s="140">
        <f t="shared" si="18"/>
        <v>0</v>
      </c>
      <c r="BK33" s="140">
        <f t="shared" si="19"/>
        <v>0</v>
      </c>
      <c r="BL33" s="140">
        <f t="shared" si="20"/>
        <v>0</v>
      </c>
      <c r="BM33" s="140">
        <f t="shared" si="21"/>
        <v>0</v>
      </c>
      <c r="BN33" s="140">
        <f t="shared" si="22"/>
        <v>0</v>
      </c>
      <c r="BO33" s="140">
        <f t="shared" si="23"/>
        <v>0</v>
      </c>
      <c r="BP33" s="140">
        <f t="shared" si="24"/>
        <v>0</v>
      </c>
      <c r="BQ33" s="140" t="e">
        <f t="shared" si="25"/>
        <v>#DIV/0!</v>
      </c>
      <c r="BR33" s="140">
        <f t="shared" si="26"/>
        <v>30</v>
      </c>
      <c r="BS33" s="141" t="e">
        <f t="shared" si="27"/>
        <v>#DIV/0!</v>
      </c>
    </row>
    <row r="34" spans="1:71" s="72" customFormat="1" ht="15" customHeight="1" x14ac:dyDescent="0.3">
      <c r="A34" s="117"/>
      <c r="B34" s="118"/>
      <c r="C34" s="119"/>
      <c r="D34" s="118"/>
      <c r="E34" s="119"/>
      <c r="F34" s="175"/>
      <c r="G34" s="176"/>
      <c r="H34" s="177"/>
      <c r="I34" s="178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4"/>
      <c r="AM34" s="78"/>
      <c r="AN34" s="126">
        <f t="shared" si="1"/>
        <v>0</v>
      </c>
      <c r="AO34" s="127">
        <f t="shared" si="1"/>
        <v>0</v>
      </c>
      <c r="AP34" s="128">
        <f t="shared" si="1"/>
        <v>0</v>
      </c>
      <c r="AQ34" s="127">
        <f t="shared" si="1"/>
        <v>0</v>
      </c>
      <c r="AR34" s="128">
        <f t="shared" si="1"/>
        <v>0</v>
      </c>
      <c r="AS34" s="160" t="e">
        <f t="shared" si="2"/>
        <v>#DIV/0!</v>
      </c>
      <c r="AT34" s="122" t="e">
        <f t="shared" si="3"/>
        <v>#DIV/0!</v>
      </c>
      <c r="AU34" s="122" t="e">
        <f t="shared" si="36"/>
        <v>#DIV/0!</v>
      </c>
      <c r="AV34" s="122" t="e">
        <f t="shared" si="5"/>
        <v>#DIV/0!</v>
      </c>
      <c r="AW34" s="122" t="e">
        <f t="shared" si="45"/>
        <v>#DIV/0!</v>
      </c>
      <c r="AX34" s="122" t="e">
        <f t="shared" si="46"/>
        <v>#DIV/0!</v>
      </c>
      <c r="AY34" s="122" t="e">
        <f t="shared" si="47"/>
        <v>#DIV/0!</v>
      </c>
      <c r="AZ34" s="161" t="e">
        <f t="shared" si="48"/>
        <v>#DIV/0!</v>
      </c>
      <c r="BA34" s="161" t="e">
        <f t="shared" si="49"/>
        <v>#DIV/0!</v>
      </c>
      <c r="BB34" s="161" t="e">
        <f t="shared" si="50"/>
        <v>#DIV/0!</v>
      </c>
      <c r="BC34" s="161" t="e">
        <f t="shared" si="51"/>
        <v>#DIV/0!</v>
      </c>
      <c r="BD34" s="162" t="e">
        <f t="shared" si="52"/>
        <v>#DIV/0!</v>
      </c>
      <c r="BE34" s="179"/>
      <c r="BF34" s="139">
        <f t="shared" si="14"/>
        <v>0</v>
      </c>
      <c r="BG34" s="140">
        <f t="shared" si="15"/>
        <v>0</v>
      </c>
      <c r="BH34" s="140">
        <f t="shared" si="16"/>
        <v>0</v>
      </c>
      <c r="BI34" s="140">
        <f t="shared" si="17"/>
        <v>0</v>
      </c>
      <c r="BJ34" s="140">
        <f t="shared" si="18"/>
        <v>0</v>
      </c>
      <c r="BK34" s="140">
        <f t="shared" si="19"/>
        <v>0</v>
      </c>
      <c r="BL34" s="140">
        <f t="shared" si="20"/>
        <v>0</v>
      </c>
      <c r="BM34" s="140">
        <f t="shared" si="21"/>
        <v>0</v>
      </c>
      <c r="BN34" s="140">
        <f t="shared" si="22"/>
        <v>0</v>
      </c>
      <c r="BO34" s="140">
        <f t="shared" si="23"/>
        <v>0</v>
      </c>
      <c r="BP34" s="140">
        <f t="shared" si="24"/>
        <v>0</v>
      </c>
      <c r="BQ34" s="140" t="e">
        <f t="shared" si="25"/>
        <v>#DIV/0!</v>
      </c>
      <c r="BR34" s="140">
        <f t="shared" si="26"/>
        <v>30</v>
      </c>
      <c r="BS34" s="141" t="e">
        <f t="shared" si="27"/>
        <v>#DIV/0!</v>
      </c>
    </row>
    <row r="35" spans="1:71" s="72" customFormat="1" ht="15" customHeight="1" x14ac:dyDescent="0.3">
      <c r="A35" s="117"/>
      <c r="B35" s="118"/>
      <c r="C35" s="119"/>
      <c r="D35" s="118"/>
      <c r="E35" s="119"/>
      <c r="F35" s="175"/>
      <c r="G35" s="176"/>
      <c r="H35" s="177"/>
      <c r="I35" s="178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4"/>
      <c r="AM35" s="78"/>
      <c r="AN35" s="126">
        <f t="shared" si="1"/>
        <v>0</v>
      </c>
      <c r="AO35" s="127">
        <f t="shared" si="1"/>
        <v>0</v>
      </c>
      <c r="AP35" s="128">
        <f t="shared" si="1"/>
        <v>0</v>
      </c>
      <c r="AQ35" s="127">
        <f t="shared" si="1"/>
        <v>0</v>
      </c>
      <c r="AR35" s="128">
        <f t="shared" si="1"/>
        <v>0</v>
      </c>
      <c r="AS35" s="160" t="e">
        <f t="shared" si="2"/>
        <v>#DIV/0!</v>
      </c>
      <c r="AT35" s="122" t="e">
        <f t="shared" si="3"/>
        <v>#DIV/0!</v>
      </c>
      <c r="AU35" s="122" t="e">
        <f t="shared" si="36"/>
        <v>#DIV/0!</v>
      </c>
      <c r="AV35" s="122" t="e">
        <f t="shared" si="5"/>
        <v>#DIV/0!</v>
      </c>
      <c r="AW35" s="122" t="e">
        <f t="shared" si="45"/>
        <v>#DIV/0!</v>
      </c>
      <c r="AX35" s="122" t="e">
        <f t="shared" si="46"/>
        <v>#DIV/0!</v>
      </c>
      <c r="AY35" s="122" t="e">
        <f t="shared" si="47"/>
        <v>#DIV/0!</v>
      </c>
      <c r="AZ35" s="161" t="e">
        <f t="shared" si="48"/>
        <v>#DIV/0!</v>
      </c>
      <c r="BA35" s="161" t="e">
        <f t="shared" si="49"/>
        <v>#DIV/0!</v>
      </c>
      <c r="BB35" s="161" t="e">
        <f t="shared" si="50"/>
        <v>#DIV/0!</v>
      </c>
      <c r="BC35" s="161" t="e">
        <f t="shared" si="51"/>
        <v>#DIV/0!</v>
      </c>
      <c r="BD35" s="162" t="e">
        <f t="shared" si="52"/>
        <v>#DIV/0!</v>
      </c>
      <c r="BE35" s="179"/>
      <c r="BF35" s="139">
        <f t="shared" si="14"/>
        <v>0</v>
      </c>
      <c r="BG35" s="140">
        <f t="shared" si="15"/>
        <v>0</v>
      </c>
      <c r="BH35" s="140">
        <f t="shared" si="16"/>
        <v>0</v>
      </c>
      <c r="BI35" s="140">
        <f t="shared" si="17"/>
        <v>0</v>
      </c>
      <c r="BJ35" s="140">
        <f t="shared" si="18"/>
        <v>0</v>
      </c>
      <c r="BK35" s="140">
        <f t="shared" si="19"/>
        <v>0</v>
      </c>
      <c r="BL35" s="140">
        <f t="shared" si="20"/>
        <v>0</v>
      </c>
      <c r="BM35" s="140">
        <f t="shared" si="21"/>
        <v>0</v>
      </c>
      <c r="BN35" s="140">
        <f t="shared" si="22"/>
        <v>0</v>
      </c>
      <c r="BO35" s="140">
        <f t="shared" si="23"/>
        <v>0</v>
      </c>
      <c r="BP35" s="140">
        <f t="shared" si="24"/>
        <v>0</v>
      </c>
      <c r="BQ35" s="140" t="e">
        <f t="shared" si="25"/>
        <v>#DIV/0!</v>
      </c>
      <c r="BR35" s="140">
        <f t="shared" si="26"/>
        <v>30</v>
      </c>
      <c r="BS35" s="141" t="e">
        <f t="shared" si="27"/>
        <v>#DIV/0!</v>
      </c>
    </row>
    <row r="36" spans="1:71" s="72" customFormat="1" ht="15" customHeight="1" x14ac:dyDescent="0.3">
      <c r="A36" s="117"/>
      <c r="B36" s="118"/>
      <c r="C36" s="119"/>
      <c r="D36" s="118"/>
      <c r="E36" s="119"/>
      <c r="F36" s="175"/>
      <c r="G36" s="176"/>
      <c r="H36" s="177"/>
      <c r="I36" s="178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4"/>
      <c r="AM36" s="78"/>
      <c r="AN36" s="126">
        <f t="shared" si="1"/>
        <v>0</v>
      </c>
      <c r="AO36" s="127">
        <f t="shared" si="1"/>
        <v>0</v>
      </c>
      <c r="AP36" s="128">
        <f t="shared" si="1"/>
        <v>0</v>
      </c>
      <c r="AQ36" s="127">
        <f t="shared" si="1"/>
        <v>0</v>
      </c>
      <c r="AR36" s="128">
        <f t="shared" si="1"/>
        <v>0</v>
      </c>
      <c r="AS36" s="160" t="e">
        <f t="shared" si="2"/>
        <v>#DIV/0!</v>
      </c>
      <c r="AT36" s="122" t="e">
        <f t="shared" si="3"/>
        <v>#DIV/0!</v>
      </c>
      <c r="AU36" s="122" t="e">
        <f t="shared" si="36"/>
        <v>#DIV/0!</v>
      </c>
      <c r="AV36" s="122" t="e">
        <f t="shared" si="5"/>
        <v>#DIV/0!</v>
      </c>
      <c r="AW36" s="122" t="e">
        <f t="shared" si="45"/>
        <v>#DIV/0!</v>
      </c>
      <c r="AX36" s="122" t="e">
        <f t="shared" si="46"/>
        <v>#DIV/0!</v>
      </c>
      <c r="AY36" s="122" t="e">
        <f t="shared" si="47"/>
        <v>#DIV/0!</v>
      </c>
      <c r="AZ36" s="161" t="e">
        <f t="shared" si="48"/>
        <v>#DIV/0!</v>
      </c>
      <c r="BA36" s="161" t="e">
        <f t="shared" si="49"/>
        <v>#DIV/0!</v>
      </c>
      <c r="BB36" s="161" t="e">
        <f t="shared" si="50"/>
        <v>#DIV/0!</v>
      </c>
      <c r="BC36" s="161" t="e">
        <f t="shared" si="51"/>
        <v>#DIV/0!</v>
      </c>
      <c r="BD36" s="162" t="e">
        <f t="shared" si="52"/>
        <v>#DIV/0!</v>
      </c>
      <c r="BE36" s="179"/>
      <c r="BF36" s="139">
        <f t="shared" si="14"/>
        <v>0</v>
      </c>
      <c r="BG36" s="140">
        <f t="shared" si="15"/>
        <v>0</v>
      </c>
      <c r="BH36" s="140">
        <f t="shared" si="16"/>
        <v>0</v>
      </c>
      <c r="BI36" s="140">
        <f t="shared" si="17"/>
        <v>0</v>
      </c>
      <c r="BJ36" s="140">
        <f t="shared" si="18"/>
        <v>0</v>
      </c>
      <c r="BK36" s="140">
        <f t="shared" si="19"/>
        <v>0</v>
      </c>
      <c r="BL36" s="140">
        <f t="shared" si="20"/>
        <v>0</v>
      </c>
      <c r="BM36" s="140">
        <f t="shared" si="21"/>
        <v>0</v>
      </c>
      <c r="BN36" s="140">
        <f t="shared" si="22"/>
        <v>0</v>
      </c>
      <c r="BO36" s="140">
        <f t="shared" si="23"/>
        <v>0</v>
      </c>
      <c r="BP36" s="140">
        <f t="shared" si="24"/>
        <v>0</v>
      </c>
      <c r="BQ36" s="140" t="e">
        <f t="shared" si="25"/>
        <v>#DIV/0!</v>
      </c>
      <c r="BR36" s="140">
        <f t="shared" si="26"/>
        <v>30</v>
      </c>
      <c r="BS36" s="141" t="e">
        <f t="shared" si="27"/>
        <v>#DIV/0!</v>
      </c>
    </row>
    <row r="37" spans="1:71" s="72" customFormat="1" ht="15" customHeight="1" x14ac:dyDescent="0.3">
      <c r="A37" s="117"/>
      <c r="B37" s="118"/>
      <c r="C37" s="119"/>
      <c r="D37" s="118"/>
      <c r="E37" s="119"/>
      <c r="F37" s="175"/>
      <c r="G37" s="176"/>
      <c r="H37" s="177"/>
      <c r="I37" s="178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4"/>
      <c r="AM37" s="78"/>
      <c r="AN37" s="126">
        <f t="shared" si="1"/>
        <v>0</v>
      </c>
      <c r="AO37" s="127">
        <f t="shared" si="1"/>
        <v>0</v>
      </c>
      <c r="AP37" s="128">
        <f t="shared" si="1"/>
        <v>0</v>
      </c>
      <c r="AQ37" s="127">
        <f t="shared" si="1"/>
        <v>0</v>
      </c>
      <c r="AR37" s="128">
        <f t="shared" si="1"/>
        <v>0</v>
      </c>
      <c r="AS37" s="160" t="e">
        <f t="shared" si="2"/>
        <v>#DIV/0!</v>
      </c>
      <c r="AT37" s="122" t="e">
        <f t="shared" si="3"/>
        <v>#DIV/0!</v>
      </c>
      <c r="AU37" s="122" t="e">
        <f t="shared" si="36"/>
        <v>#DIV/0!</v>
      </c>
      <c r="AV37" s="122" t="e">
        <f t="shared" si="5"/>
        <v>#DIV/0!</v>
      </c>
      <c r="AW37" s="122" t="e">
        <f t="shared" si="45"/>
        <v>#DIV/0!</v>
      </c>
      <c r="AX37" s="122" t="e">
        <f t="shared" si="46"/>
        <v>#DIV/0!</v>
      </c>
      <c r="AY37" s="122" t="e">
        <f t="shared" si="47"/>
        <v>#DIV/0!</v>
      </c>
      <c r="AZ37" s="161" t="e">
        <f t="shared" si="48"/>
        <v>#DIV/0!</v>
      </c>
      <c r="BA37" s="161" t="e">
        <f t="shared" si="49"/>
        <v>#DIV/0!</v>
      </c>
      <c r="BB37" s="161" t="e">
        <f t="shared" si="50"/>
        <v>#DIV/0!</v>
      </c>
      <c r="BC37" s="161" t="e">
        <f t="shared" si="51"/>
        <v>#DIV/0!</v>
      </c>
      <c r="BD37" s="162" t="e">
        <f t="shared" si="52"/>
        <v>#DIV/0!</v>
      </c>
      <c r="BE37" s="179"/>
      <c r="BF37" s="139">
        <f t="shared" si="14"/>
        <v>0</v>
      </c>
      <c r="BG37" s="140">
        <f t="shared" si="15"/>
        <v>0</v>
      </c>
      <c r="BH37" s="140">
        <f t="shared" si="16"/>
        <v>0</v>
      </c>
      <c r="BI37" s="140">
        <f t="shared" si="17"/>
        <v>0</v>
      </c>
      <c r="BJ37" s="140">
        <f t="shared" si="18"/>
        <v>0</v>
      </c>
      <c r="BK37" s="140">
        <f t="shared" si="19"/>
        <v>0</v>
      </c>
      <c r="BL37" s="140">
        <f t="shared" si="20"/>
        <v>0</v>
      </c>
      <c r="BM37" s="140">
        <f t="shared" si="21"/>
        <v>0</v>
      </c>
      <c r="BN37" s="140">
        <f t="shared" si="22"/>
        <v>0</v>
      </c>
      <c r="BO37" s="140">
        <f t="shared" si="23"/>
        <v>0</v>
      </c>
      <c r="BP37" s="140">
        <f t="shared" si="24"/>
        <v>0</v>
      </c>
      <c r="BQ37" s="140" t="e">
        <f t="shared" si="25"/>
        <v>#DIV/0!</v>
      </c>
      <c r="BR37" s="140">
        <f t="shared" si="26"/>
        <v>30</v>
      </c>
      <c r="BS37" s="141" t="e">
        <f t="shared" si="27"/>
        <v>#DIV/0!</v>
      </c>
    </row>
    <row r="38" spans="1:71" s="72" customFormat="1" ht="15" customHeight="1" thickBot="1" x14ac:dyDescent="0.35">
      <c r="A38" s="187"/>
      <c r="B38" s="188"/>
      <c r="C38" s="189"/>
      <c r="D38" s="188"/>
      <c r="E38" s="189"/>
      <c r="F38" s="190"/>
      <c r="G38" s="191"/>
      <c r="H38" s="192"/>
      <c r="I38" s="193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78"/>
      <c r="AN38" s="196">
        <f t="shared" si="1"/>
        <v>0</v>
      </c>
      <c r="AO38" s="197">
        <f t="shared" si="1"/>
        <v>0</v>
      </c>
      <c r="AP38" s="198">
        <f t="shared" si="1"/>
        <v>0</v>
      </c>
      <c r="AQ38" s="197">
        <f t="shared" si="1"/>
        <v>0</v>
      </c>
      <c r="AR38" s="198">
        <f t="shared" si="1"/>
        <v>0</v>
      </c>
      <c r="AS38" s="167" t="e">
        <f t="shared" si="2"/>
        <v>#DIV/0!</v>
      </c>
      <c r="AT38" s="168" t="e">
        <f t="shared" si="3"/>
        <v>#DIV/0!</v>
      </c>
      <c r="AU38" s="168" t="e">
        <f t="shared" si="36"/>
        <v>#DIV/0!</v>
      </c>
      <c r="AV38" s="168" t="e">
        <f t="shared" si="5"/>
        <v>#DIV/0!</v>
      </c>
      <c r="AW38" s="168" t="e">
        <f t="shared" si="45"/>
        <v>#DIV/0!</v>
      </c>
      <c r="AX38" s="168" t="e">
        <f t="shared" si="46"/>
        <v>#DIV/0!</v>
      </c>
      <c r="AY38" s="168" t="e">
        <f t="shared" si="47"/>
        <v>#DIV/0!</v>
      </c>
      <c r="AZ38" s="169" t="e">
        <f t="shared" si="48"/>
        <v>#DIV/0!</v>
      </c>
      <c r="BA38" s="169" t="e">
        <f t="shared" si="49"/>
        <v>#DIV/0!</v>
      </c>
      <c r="BB38" s="169" t="e">
        <f t="shared" si="50"/>
        <v>#DIV/0!</v>
      </c>
      <c r="BC38" s="169" t="e">
        <f t="shared" si="51"/>
        <v>#DIV/0!</v>
      </c>
      <c r="BD38" s="170" t="e">
        <f t="shared" si="52"/>
        <v>#DIV/0!</v>
      </c>
      <c r="BE38" s="179"/>
      <c r="BF38" s="172">
        <f t="shared" si="14"/>
        <v>0</v>
      </c>
      <c r="BG38" s="173">
        <f t="shared" si="15"/>
        <v>0</v>
      </c>
      <c r="BH38" s="173">
        <f t="shared" si="16"/>
        <v>0</v>
      </c>
      <c r="BI38" s="173">
        <f t="shared" si="17"/>
        <v>0</v>
      </c>
      <c r="BJ38" s="173">
        <f t="shared" si="18"/>
        <v>0</v>
      </c>
      <c r="BK38" s="173">
        <f t="shared" si="19"/>
        <v>0</v>
      </c>
      <c r="BL38" s="173">
        <f t="shared" si="20"/>
        <v>0</v>
      </c>
      <c r="BM38" s="173">
        <f t="shared" si="21"/>
        <v>0</v>
      </c>
      <c r="BN38" s="173">
        <f t="shared" si="22"/>
        <v>0</v>
      </c>
      <c r="BO38" s="173">
        <f t="shared" si="23"/>
        <v>0</v>
      </c>
      <c r="BP38" s="173">
        <f t="shared" si="24"/>
        <v>0</v>
      </c>
      <c r="BQ38" s="173" t="e">
        <f t="shared" si="25"/>
        <v>#DIV/0!</v>
      </c>
      <c r="BR38" s="173">
        <f t="shared" si="26"/>
        <v>30</v>
      </c>
      <c r="BS38" s="174" t="e">
        <f t="shared" si="27"/>
        <v>#DIV/0!</v>
      </c>
    </row>
    <row r="39" spans="1:71" x14ac:dyDescent="0.3">
      <c r="A39" s="67"/>
      <c r="B39" s="87"/>
      <c r="C39" s="87"/>
      <c r="D39" s="87"/>
      <c r="E39" s="87"/>
      <c r="AN39" s="67"/>
      <c r="AO39" s="87"/>
      <c r="AP39" s="87"/>
      <c r="AQ39" s="87"/>
      <c r="AR39" s="87"/>
      <c r="AS39" s="74"/>
      <c r="AT39" s="70"/>
      <c r="AU39" s="70"/>
      <c r="AV39" s="70"/>
      <c r="AW39" s="70"/>
      <c r="AX39" s="199"/>
      <c r="AY39" s="199"/>
    </row>
    <row r="40" spans="1:71" x14ac:dyDescent="0.3">
      <c r="A40" s="67"/>
      <c r="B40" s="87"/>
      <c r="C40" s="87"/>
      <c r="D40" s="87"/>
      <c r="E40" s="87"/>
      <c r="AN40" s="67"/>
      <c r="AO40" s="87"/>
      <c r="AP40" s="87"/>
      <c r="AQ40" s="87"/>
      <c r="AR40" s="87"/>
      <c r="AS40" s="74"/>
      <c r="AT40" s="70"/>
      <c r="AU40" s="70"/>
      <c r="AV40" s="70"/>
      <c r="AW40" s="70"/>
      <c r="AX40" s="199"/>
      <c r="AY40" s="199"/>
    </row>
    <row r="41" spans="1:71" x14ac:dyDescent="0.3">
      <c r="A41" s="67"/>
      <c r="B41" s="87"/>
      <c r="C41" s="87"/>
      <c r="D41" s="87"/>
      <c r="E41" s="87"/>
      <c r="AN41" s="67"/>
      <c r="AO41" s="87"/>
      <c r="AP41" s="87"/>
      <c r="AQ41" s="87"/>
      <c r="AR41" s="87"/>
      <c r="AS41" s="74"/>
      <c r="AT41" s="70"/>
      <c r="AU41" s="70"/>
      <c r="AV41" s="70"/>
      <c r="AW41" s="70"/>
      <c r="AX41" s="199"/>
      <c r="AY41" s="199"/>
    </row>
    <row r="42" spans="1:71" x14ac:dyDescent="0.3">
      <c r="A42" s="67"/>
      <c r="B42" s="87"/>
      <c r="C42" s="87"/>
      <c r="D42" s="87"/>
      <c r="E42" s="87"/>
      <c r="AN42" s="67"/>
      <c r="AO42" s="87"/>
      <c r="AP42" s="87"/>
      <c r="AQ42" s="87"/>
      <c r="AR42" s="87"/>
      <c r="AS42" s="74"/>
      <c r="AT42" s="70"/>
      <c r="AU42" s="70"/>
      <c r="AV42" s="70"/>
      <c r="AW42" s="70"/>
      <c r="AX42" s="199"/>
      <c r="AY42" s="199"/>
    </row>
    <row r="43" spans="1:71" x14ac:dyDescent="0.3">
      <c r="A43" s="67"/>
      <c r="B43" s="87"/>
      <c r="C43" s="87"/>
      <c r="D43" s="87"/>
      <c r="E43" s="87"/>
      <c r="AN43" s="67"/>
      <c r="AO43" s="87"/>
      <c r="AP43" s="87"/>
      <c r="AQ43" s="87"/>
      <c r="AR43" s="87"/>
      <c r="AS43" s="74"/>
      <c r="AT43" s="70"/>
      <c r="AU43" s="70"/>
      <c r="AV43" s="70"/>
      <c r="AW43" s="70"/>
      <c r="AX43" s="199"/>
      <c r="AY43" s="199"/>
    </row>
    <row r="44" spans="1:71" x14ac:dyDescent="0.3">
      <c r="A44" s="67"/>
      <c r="B44" s="87"/>
      <c r="C44" s="87"/>
      <c r="D44" s="87"/>
      <c r="E44" s="87"/>
      <c r="AN44" s="67"/>
      <c r="AO44" s="87"/>
      <c r="AP44" s="87"/>
      <c r="AQ44" s="87"/>
      <c r="AR44" s="87"/>
      <c r="AS44" s="74"/>
      <c r="AT44" s="70"/>
      <c r="AU44" s="70"/>
      <c r="AV44" s="70"/>
      <c r="AW44" s="70"/>
      <c r="AX44" s="199"/>
      <c r="AY44" s="199"/>
    </row>
    <row r="45" spans="1:71" x14ac:dyDescent="0.3">
      <c r="A45" s="67"/>
      <c r="B45" s="87"/>
      <c r="C45" s="87"/>
      <c r="D45" s="87"/>
      <c r="E45" s="87"/>
      <c r="AN45" s="67"/>
      <c r="AO45" s="87"/>
      <c r="AP45" s="87"/>
      <c r="AQ45" s="87"/>
      <c r="AR45" s="87"/>
      <c r="AS45" s="74"/>
      <c r="AT45" s="70"/>
      <c r="AU45" s="70"/>
      <c r="AV45" s="70"/>
      <c r="AW45" s="70"/>
      <c r="AX45" s="199"/>
      <c r="AY45" s="199"/>
    </row>
    <row r="46" spans="1:71" x14ac:dyDescent="0.3">
      <c r="A46" s="67"/>
      <c r="B46" s="87"/>
      <c r="C46" s="87"/>
      <c r="D46" s="87"/>
      <c r="E46" s="87"/>
      <c r="AN46" s="67"/>
      <c r="AO46" s="87"/>
      <c r="AP46" s="87"/>
      <c r="AQ46" s="87"/>
      <c r="AR46" s="87"/>
      <c r="AS46" s="74"/>
      <c r="AT46" s="70"/>
      <c r="AU46" s="70"/>
      <c r="AV46" s="70"/>
      <c r="AW46" s="70"/>
      <c r="AX46" s="199"/>
      <c r="AY46" s="199"/>
    </row>
    <row r="47" spans="1:71" x14ac:dyDescent="0.3">
      <c r="A47" s="67"/>
      <c r="B47" s="87"/>
      <c r="C47" s="87"/>
      <c r="D47" s="87"/>
      <c r="E47" s="87"/>
      <c r="AN47" s="67"/>
      <c r="AO47" s="87"/>
      <c r="AP47" s="87"/>
      <c r="AQ47" s="87"/>
      <c r="AR47" s="87"/>
      <c r="AS47" s="74"/>
      <c r="AT47" s="70"/>
      <c r="AU47" s="70"/>
      <c r="AV47" s="70"/>
      <c r="AW47" s="70"/>
      <c r="AX47" s="199"/>
      <c r="AY47" s="199"/>
    </row>
    <row r="48" spans="1:71" x14ac:dyDescent="0.3">
      <c r="A48" s="67"/>
      <c r="B48" s="87"/>
      <c r="C48" s="87"/>
      <c r="D48" s="87"/>
      <c r="E48" s="87"/>
      <c r="AN48" s="67"/>
      <c r="AO48" s="87"/>
      <c r="AP48" s="87"/>
      <c r="AQ48" s="87"/>
      <c r="AR48" s="87"/>
      <c r="AS48" s="74"/>
      <c r="AT48" s="70"/>
      <c r="AU48" s="70"/>
      <c r="AV48" s="70"/>
      <c r="AW48" s="70"/>
      <c r="AX48" s="199"/>
      <c r="AY48" s="199"/>
    </row>
    <row r="49" spans="1:51" x14ac:dyDescent="0.3">
      <c r="A49" s="67"/>
      <c r="B49" s="87"/>
      <c r="C49" s="87"/>
      <c r="D49" s="87"/>
      <c r="E49" s="87"/>
      <c r="AN49" s="67"/>
      <c r="AO49" s="87"/>
      <c r="AP49" s="87"/>
      <c r="AQ49" s="87"/>
      <c r="AR49" s="87"/>
      <c r="AS49" s="74"/>
      <c r="AT49" s="70"/>
      <c r="AU49" s="70"/>
      <c r="AV49" s="70"/>
      <c r="AW49" s="70"/>
      <c r="AX49" s="199"/>
      <c r="AY49" s="199"/>
    </row>
    <row r="50" spans="1:51" x14ac:dyDescent="0.3">
      <c r="A50" s="67"/>
      <c r="B50" s="87"/>
      <c r="C50" s="87"/>
      <c r="D50" s="87"/>
      <c r="E50" s="87"/>
      <c r="AN50" s="67"/>
      <c r="AO50" s="87"/>
      <c r="AP50" s="87"/>
      <c r="AQ50" s="87"/>
      <c r="AR50" s="87"/>
      <c r="AS50" s="74"/>
      <c r="AT50" s="70"/>
      <c r="AU50" s="70"/>
      <c r="AV50" s="70"/>
      <c r="AW50" s="70"/>
      <c r="AX50" s="199"/>
      <c r="AY50" s="199"/>
    </row>
    <row r="51" spans="1:51" x14ac:dyDescent="0.3">
      <c r="A51" s="67"/>
      <c r="B51" s="87"/>
      <c r="C51" s="87"/>
      <c r="D51" s="87"/>
      <c r="E51" s="87"/>
      <c r="AN51" s="67"/>
      <c r="AO51" s="87"/>
      <c r="AP51" s="87"/>
      <c r="AQ51" s="87"/>
      <c r="AR51" s="87"/>
      <c r="AS51" s="74"/>
      <c r="AT51" s="70"/>
      <c r="AU51" s="70"/>
      <c r="AV51" s="70"/>
      <c r="AW51" s="70"/>
      <c r="AX51" s="199"/>
      <c r="AY51" s="199"/>
    </row>
    <row r="52" spans="1:51" x14ac:dyDescent="0.3">
      <c r="A52" s="67"/>
      <c r="B52" s="87"/>
      <c r="C52" s="87"/>
      <c r="D52" s="87"/>
      <c r="E52" s="87"/>
      <c r="AN52" s="67"/>
      <c r="AO52" s="87"/>
      <c r="AP52" s="87"/>
      <c r="AQ52" s="87"/>
      <c r="AR52" s="87"/>
      <c r="AS52" s="74"/>
      <c r="AT52" s="70"/>
      <c r="AU52" s="70"/>
      <c r="AV52" s="70"/>
      <c r="AW52" s="70"/>
      <c r="AX52" s="199"/>
      <c r="AY52" s="199"/>
    </row>
    <row r="53" spans="1:51" x14ac:dyDescent="0.3">
      <c r="A53" s="67"/>
      <c r="B53" s="87"/>
      <c r="C53" s="87"/>
      <c r="D53" s="87"/>
      <c r="E53" s="87"/>
      <c r="AN53" s="67"/>
      <c r="AO53" s="87"/>
      <c r="AP53" s="87"/>
      <c r="AQ53" s="87"/>
      <c r="AR53" s="87"/>
      <c r="AS53" s="74"/>
      <c r="AT53" s="70"/>
      <c r="AU53" s="70"/>
      <c r="AV53" s="70"/>
      <c r="AW53" s="70"/>
      <c r="AX53" s="199"/>
      <c r="AY53" s="199"/>
    </row>
    <row r="54" spans="1:51" x14ac:dyDescent="0.3">
      <c r="A54" s="67"/>
      <c r="B54" s="87"/>
      <c r="C54" s="87"/>
      <c r="D54" s="87"/>
      <c r="E54" s="87"/>
      <c r="AN54" s="67"/>
      <c r="AO54" s="87"/>
      <c r="AP54" s="87"/>
      <c r="AQ54" s="87"/>
      <c r="AR54" s="87"/>
      <c r="AS54" s="74"/>
      <c r="AT54" s="70"/>
      <c r="AU54" s="70"/>
      <c r="AV54" s="70"/>
      <c r="AW54" s="70"/>
      <c r="AX54" s="199"/>
      <c r="AY54" s="199"/>
    </row>
    <row r="55" spans="1:51" x14ac:dyDescent="0.3">
      <c r="A55" s="67"/>
      <c r="B55" s="87"/>
      <c r="C55" s="87"/>
      <c r="D55" s="87"/>
      <c r="E55" s="87"/>
      <c r="AN55" s="67"/>
      <c r="AO55" s="87"/>
      <c r="AP55" s="87"/>
      <c r="AQ55" s="87"/>
      <c r="AR55" s="87"/>
      <c r="AS55" s="74"/>
      <c r="AT55" s="70"/>
      <c r="AU55" s="70"/>
      <c r="AV55" s="70"/>
      <c r="AW55" s="70"/>
      <c r="AX55" s="199"/>
      <c r="AY55" s="199"/>
    </row>
    <row r="56" spans="1:51" x14ac:dyDescent="0.3">
      <c r="A56" s="67"/>
      <c r="B56" s="87"/>
      <c r="C56" s="87"/>
      <c r="D56" s="87"/>
      <c r="E56" s="87"/>
      <c r="AN56" s="67"/>
      <c r="AO56" s="87"/>
      <c r="AP56" s="87"/>
      <c r="AQ56" s="87"/>
      <c r="AR56" s="87"/>
      <c r="AS56" s="74"/>
      <c r="AT56" s="70"/>
      <c r="AU56" s="70"/>
      <c r="AV56" s="70"/>
      <c r="AW56" s="70"/>
      <c r="AX56" s="199"/>
      <c r="AY56" s="199"/>
    </row>
    <row r="57" spans="1:51" x14ac:dyDescent="0.3">
      <c r="A57" s="67"/>
      <c r="B57" s="87"/>
      <c r="C57" s="87"/>
      <c r="D57" s="87"/>
      <c r="E57" s="87"/>
      <c r="AN57" s="67"/>
      <c r="AO57" s="87"/>
      <c r="AP57" s="87"/>
      <c r="AQ57" s="87"/>
      <c r="AR57" s="87"/>
      <c r="AS57" s="74"/>
      <c r="AT57" s="70"/>
      <c r="AU57" s="70"/>
      <c r="AV57" s="70"/>
      <c r="AW57" s="70"/>
      <c r="AX57" s="199"/>
      <c r="AY57" s="199"/>
    </row>
    <row r="58" spans="1:51" x14ac:dyDescent="0.3">
      <c r="A58" s="67"/>
      <c r="B58" s="87"/>
      <c r="C58" s="87"/>
      <c r="D58" s="87"/>
      <c r="E58" s="87"/>
      <c r="AN58" s="67"/>
      <c r="AO58" s="87"/>
      <c r="AP58" s="87"/>
      <c r="AQ58" s="87"/>
      <c r="AR58" s="87"/>
      <c r="AS58" s="74"/>
      <c r="AT58" s="70"/>
      <c r="AU58" s="70"/>
      <c r="AV58" s="70"/>
      <c r="AW58" s="70"/>
      <c r="AX58" s="199"/>
      <c r="AY58" s="199"/>
    </row>
    <row r="59" spans="1:51" x14ac:dyDescent="0.3">
      <c r="A59" s="67"/>
      <c r="B59" s="87"/>
      <c r="C59" s="87"/>
      <c r="D59" s="87"/>
      <c r="E59" s="87"/>
      <c r="AN59" s="67"/>
      <c r="AO59" s="87"/>
      <c r="AP59" s="87"/>
      <c r="AQ59" s="87"/>
      <c r="AR59" s="87"/>
      <c r="AS59" s="74"/>
      <c r="AT59" s="70"/>
      <c r="AU59" s="70"/>
      <c r="AV59" s="70"/>
      <c r="AW59" s="70"/>
      <c r="AX59" s="199"/>
      <c r="AY59" s="199"/>
    </row>
    <row r="60" spans="1:51" x14ac:dyDescent="0.3">
      <c r="A60" s="67"/>
      <c r="B60" s="87"/>
      <c r="C60" s="87"/>
      <c r="D60" s="87"/>
      <c r="E60" s="87"/>
      <c r="AN60" s="67"/>
      <c r="AO60" s="87"/>
      <c r="AP60" s="87"/>
      <c r="AQ60" s="87"/>
      <c r="AR60" s="87"/>
      <c r="AS60" s="74"/>
      <c r="AT60" s="70"/>
      <c r="AU60" s="70"/>
      <c r="AV60" s="70"/>
      <c r="AW60" s="70"/>
      <c r="AX60" s="199"/>
      <c r="AY60" s="199"/>
    </row>
    <row r="61" spans="1:51" x14ac:dyDescent="0.3">
      <c r="A61" s="67"/>
      <c r="B61" s="87"/>
      <c r="C61" s="87"/>
      <c r="D61" s="87"/>
      <c r="E61" s="87"/>
      <c r="AN61" s="67"/>
      <c r="AO61" s="87"/>
      <c r="AP61" s="87"/>
      <c r="AQ61" s="87"/>
      <c r="AR61" s="87"/>
      <c r="AS61" s="74"/>
      <c r="AT61" s="70"/>
      <c r="AU61" s="70"/>
      <c r="AV61" s="70"/>
      <c r="AW61" s="70"/>
      <c r="AX61" s="199"/>
      <c r="AY61" s="199"/>
    </row>
  </sheetData>
  <mergeCells count="49"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  <mergeCell ref="AO9:A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C9:BC10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honeticPr fontId="2"/>
  <pageMargins left="0.78740157480314965" right="0.78740157480314965" top="0.98425196850393704" bottom="0.98425196850393704" header="0.51181102362204722" footer="0.51181102362204722"/>
  <pageSetup paperSize="9" scale="31" orientation="landscape" r:id="rId1"/>
  <headerFooter alignWithMargins="0"/>
  <colBreaks count="2" manualBreakCount="2">
    <brk id="39" max="37" man="1"/>
    <brk id="57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I4" zoomScale="70" zoomScaleNormal="70" workbookViewId="0">
      <selection activeCell="CD6" sqref="CD6:CG6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571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9.6999999999999993</v>
      </c>
      <c r="E7" s="28">
        <v>0.15</v>
      </c>
      <c r="F7" s="29">
        <v>0.32</v>
      </c>
      <c r="G7" s="29">
        <v>1.7</v>
      </c>
      <c r="H7" s="30">
        <v>0.28999999999999998</v>
      </c>
      <c r="I7" s="29">
        <v>0.34</v>
      </c>
      <c r="J7" s="29">
        <v>4.3999999999999997E-2</v>
      </c>
      <c r="K7" s="29">
        <v>4.9000000000000002E-2</v>
      </c>
      <c r="L7" s="26">
        <v>0.11</v>
      </c>
      <c r="M7" s="28" t="s">
        <v>232</v>
      </c>
      <c r="N7" s="29" t="s">
        <v>572</v>
      </c>
      <c r="O7" s="29" t="s">
        <v>232</v>
      </c>
      <c r="P7" s="29" t="s">
        <v>232</v>
      </c>
      <c r="Q7" s="29" t="s">
        <v>232</v>
      </c>
      <c r="R7" s="29" t="s">
        <v>73</v>
      </c>
      <c r="S7" s="29">
        <v>11</v>
      </c>
      <c r="T7" s="29" t="s">
        <v>527</v>
      </c>
      <c r="U7" s="29" t="s">
        <v>573</v>
      </c>
      <c r="V7" s="29" t="s">
        <v>330</v>
      </c>
      <c r="W7" s="29" t="s">
        <v>558</v>
      </c>
      <c r="X7" s="29" t="s">
        <v>574</v>
      </c>
      <c r="Y7" s="29" t="s">
        <v>575</v>
      </c>
      <c r="Z7" s="29" t="s">
        <v>576</v>
      </c>
      <c r="AA7" s="29" t="s">
        <v>577</v>
      </c>
      <c r="AB7" s="29" t="s">
        <v>198</v>
      </c>
      <c r="AC7" s="29" t="s">
        <v>259</v>
      </c>
      <c r="AD7" s="29" t="s">
        <v>232</v>
      </c>
      <c r="AE7" s="29" t="s">
        <v>66</v>
      </c>
      <c r="AF7" s="29" t="s">
        <v>578</v>
      </c>
      <c r="AG7" s="29" t="s">
        <v>579</v>
      </c>
      <c r="AH7" s="29" t="s">
        <v>528</v>
      </c>
      <c r="AI7" s="29" t="s">
        <v>580</v>
      </c>
      <c r="AJ7" s="29">
        <v>0.1</v>
      </c>
      <c r="AK7" s="29" t="s">
        <v>581</v>
      </c>
      <c r="AL7" s="27" t="s">
        <v>470</v>
      </c>
      <c r="AM7" s="27" t="s">
        <v>582</v>
      </c>
      <c r="AN7" s="27" t="s">
        <v>232</v>
      </c>
      <c r="AO7" s="27" t="s">
        <v>323</v>
      </c>
      <c r="AP7" s="29" t="s">
        <v>194</v>
      </c>
      <c r="AQ7" s="26"/>
      <c r="AR7" s="28">
        <v>0.1</v>
      </c>
      <c r="AS7" s="30">
        <v>0.84</v>
      </c>
      <c r="AT7" s="30">
        <v>0.38</v>
      </c>
      <c r="AU7" s="30">
        <v>0.33</v>
      </c>
      <c r="AV7" s="30">
        <v>0.23</v>
      </c>
      <c r="AW7" s="29">
        <v>0.36</v>
      </c>
      <c r="AX7" s="27">
        <v>0.25</v>
      </c>
      <c r="AY7" s="27" t="s">
        <v>67</v>
      </c>
      <c r="AZ7" s="27">
        <v>1.9</v>
      </c>
      <c r="BA7" s="27">
        <v>0.38</v>
      </c>
      <c r="BB7" s="26">
        <v>1.3</v>
      </c>
      <c r="BC7" s="619">
        <f>SUM(AR7:AV7)/AZ7</f>
        <v>0.98947368421052628</v>
      </c>
      <c r="BD7" s="610">
        <f>(SUM(AW7:AY7)-AV7)/BA7</f>
        <v>1</v>
      </c>
      <c r="BF7" s="610">
        <f>E7/35.5</f>
        <v>4.2253521126760559E-3</v>
      </c>
      <c r="BG7" s="610">
        <f>F7/62</f>
        <v>5.1612903225806452E-3</v>
      </c>
      <c r="BH7" s="610">
        <f>G7/(96/2)</f>
        <v>3.5416666666666666E-2</v>
      </c>
      <c r="BI7" s="610">
        <f>H7/23</f>
        <v>1.2608695652173912E-2</v>
      </c>
      <c r="BJ7" s="610">
        <f>I7/18</f>
        <v>1.8888888888888889E-2</v>
      </c>
      <c r="BK7" s="610">
        <f>J7/39</f>
        <v>1.1282051282051281E-3</v>
      </c>
      <c r="BL7" s="610">
        <f>K7/(24.3/2)</f>
        <v>4.0329218106995883E-3</v>
      </c>
      <c r="BM7" s="610">
        <f>L7/(40/2)</f>
        <v>5.4999999999999997E-3</v>
      </c>
      <c r="BN7" s="563">
        <f>SUM(BF7:BH7)*1000</f>
        <v>44.803309101923368</v>
      </c>
      <c r="BO7" s="563">
        <f>SUM(BI7:BM7)*1000</f>
        <v>42.158711479967515</v>
      </c>
      <c r="BP7" s="611">
        <f>BN7/BO7</f>
        <v>1.0627295647594088</v>
      </c>
      <c r="BR7" s="564">
        <f>1.375*G7</f>
        <v>2.3374999999999999</v>
      </c>
      <c r="BS7" s="564">
        <f>1.29*F7</f>
        <v>0.4128</v>
      </c>
      <c r="BT7" s="564">
        <f>2.5*H7</f>
        <v>0.72499999999999998</v>
      </c>
      <c r="BU7" s="564">
        <f>1.6*AZ7</f>
        <v>3.04</v>
      </c>
      <c r="BV7" s="564">
        <f>BA7</f>
        <v>0.38</v>
      </c>
      <c r="BW7" s="564" t="e">
        <f>9.19/1000*N7</f>
        <v>#VALUE!</v>
      </c>
      <c r="BX7" s="564" t="e">
        <f>Q7/1000*1.4</f>
        <v>#VALUE!</v>
      </c>
      <c r="BY7" s="564" t="e">
        <f>W7/1000*1.38</f>
        <v>#VALUE!</v>
      </c>
      <c r="BZ7" s="564">
        <f>S7/1000*1.67</f>
        <v>1.8369999999999997E-2</v>
      </c>
      <c r="CA7" s="564" t="e">
        <f>SUM(BR7:BZ7)</f>
        <v>#VALUE!</v>
      </c>
      <c r="CB7" s="611" t="e">
        <f>CA7/D7</f>
        <v>#VALUE!</v>
      </c>
      <c r="CD7" s="610">
        <f>AZ7/(AZ7+BA7)</f>
        <v>0.83333333333333337</v>
      </c>
      <c r="CE7" s="610">
        <f>BB7/AZ7</f>
        <v>0.68421052631578949</v>
      </c>
      <c r="CF7" s="610">
        <f t="shared" ref="CF7:CF12" si="0">IF(AW7-AV7&gt;0,AW7-AV7,0)</f>
        <v>0.12999999999999998</v>
      </c>
      <c r="CG7" s="610" t="e">
        <f t="shared" ref="CG7:CG12" si="1">IF(AW7-AV7&gt;0,AX7+AY7,AW7+AX7+AY7-AV7)</f>
        <v>#VALUE!</v>
      </c>
    </row>
    <row r="8" spans="2:85" ht="20.149999999999999" customHeight="1" x14ac:dyDescent="0.2">
      <c r="B8" s="31" t="s">
        <v>61</v>
      </c>
      <c r="C8" s="32" t="s">
        <v>199</v>
      </c>
      <c r="D8" s="33">
        <v>3.9</v>
      </c>
      <c r="E8" s="34">
        <v>3.5999999999999997E-2</v>
      </c>
      <c r="F8" s="35">
        <v>7.5999999999999998E-2</v>
      </c>
      <c r="G8" s="35">
        <v>7.9000000000000001E-2</v>
      </c>
      <c r="H8" s="36" t="s">
        <v>238</v>
      </c>
      <c r="I8" s="35" t="s">
        <v>222</v>
      </c>
      <c r="J8" s="35" t="s">
        <v>583</v>
      </c>
      <c r="K8" s="35">
        <v>6.0000000000000001E-3</v>
      </c>
      <c r="L8" s="32">
        <v>1.4999999999999999E-2</v>
      </c>
      <c r="M8" s="34" t="s">
        <v>232</v>
      </c>
      <c r="N8" s="35">
        <v>150</v>
      </c>
      <c r="O8" s="35" t="s">
        <v>232</v>
      </c>
      <c r="P8" s="35" t="s">
        <v>232</v>
      </c>
      <c r="Q8" s="35" t="s">
        <v>232</v>
      </c>
      <c r="R8" s="35" t="s">
        <v>73</v>
      </c>
      <c r="S8" s="35">
        <v>12</v>
      </c>
      <c r="T8" s="35">
        <v>10</v>
      </c>
      <c r="U8" s="35">
        <v>1.4</v>
      </c>
      <c r="V8" s="35">
        <v>5</v>
      </c>
      <c r="W8" s="35">
        <v>69</v>
      </c>
      <c r="X8" s="35">
        <v>2.8</v>
      </c>
      <c r="Y8" s="35" t="s">
        <v>575</v>
      </c>
      <c r="Z8" s="35">
        <v>2.5</v>
      </c>
      <c r="AA8" s="35">
        <v>27</v>
      </c>
      <c r="AB8" s="35">
        <v>0.28000000000000003</v>
      </c>
      <c r="AC8" s="35">
        <v>0.11</v>
      </c>
      <c r="AD8" s="35" t="s">
        <v>232</v>
      </c>
      <c r="AE8" s="35">
        <v>0.65</v>
      </c>
      <c r="AF8" s="35" t="s">
        <v>578</v>
      </c>
      <c r="AG8" s="35">
        <v>1.9E-2</v>
      </c>
      <c r="AH8" s="35">
        <v>2.5</v>
      </c>
      <c r="AI8" s="35">
        <v>0.1</v>
      </c>
      <c r="AJ8" s="35">
        <v>0.26</v>
      </c>
      <c r="AK8" s="35" t="s">
        <v>581</v>
      </c>
      <c r="AL8" s="33" t="s">
        <v>470</v>
      </c>
      <c r="AM8" s="33">
        <v>7.8E-2</v>
      </c>
      <c r="AN8" s="33" t="s">
        <v>232</v>
      </c>
      <c r="AO8" s="33" t="s">
        <v>323</v>
      </c>
      <c r="AP8" s="35">
        <v>4.0999999999999996</v>
      </c>
      <c r="AQ8" s="32"/>
      <c r="AR8" s="34" t="s">
        <v>584</v>
      </c>
      <c r="AS8" s="36">
        <v>0.96</v>
      </c>
      <c r="AT8" s="36">
        <v>0.68</v>
      </c>
      <c r="AU8" s="36">
        <v>0.5</v>
      </c>
      <c r="AV8" s="36">
        <v>0.39</v>
      </c>
      <c r="AW8" s="35">
        <v>0.96</v>
      </c>
      <c r="AX8" s="33">
        <v>0.3</v>
      </c>
      <c r="AY8" s="33" t="s">
        <v>67</v>
      </c>
      <c r="AZ8" s="33">
        <v>2.6</v>
      </c>
      <c r="BA8" s="33">
        <v>0.87</v>
      </c>
      <c r="BB8" s="32">
        <v>1.2</v>
      </c>
      <c r="BC8" s="619">
        <f t="shared" ref="BC8:BC20" si="2">SUM(AR8:AV8)/AZ8</f>
        <v>0.97307692307692317</v>
      </c>
      <c r="BD8" s="610">
        <f t="shared" ref="BD8:BD20" si="3">(SUM(AW8:AY8)-AV8)/BA8</f>
        <v>1</v>
      </c>
      <c r="BF8" s="610">
        <f t="shared" ref="BF8:BF20" si="4">E8/35.5</f>
        <v>1.0140845070422534E-3</v>
      </c>
      <c r="BG8" s="610">
        <f t="shared" ref="BG8:BG20" si="5">F8/62</f>
        <v>1.2258064516129032E-3</v>
      </c>
      <c r="BH8" s="610">
        <f t="shared" ref="BH8:BH20" si="6">G8/(96/2)</f>
        <v>1.6458333333333333E-3</v>
      </c>
      <c r="BI8" s="610" t="e">
        <f t="shared" ref="BI8:BI20" si="7">H8/23</f>
        <v>#VALUE!</v>
      </c>
      <c r="BJ8" s="610" t="e">
        <f t="shared" ref="BJ8:BJ20" si="8">I8/18</f>
        <v>#VALUE!</v>
      </c>
      <c r="BK8" s="610" t="e">
        <f t="shared" ref="BK8:BK20" si="9">J8/39</f>
        <v>#VALUE!</v>
      </c>
      <c r="BL8" s="610">
        <f t="shared" ref="BL8:BL20" si="10">K8/(24.3/2)</f>
        <v>4.9382716049382717E-4</v>
      </c>
      <c r="BM8" s="610">
        <f t="shared" ref="BM8:BM20" si="11">L8/(40/2)</f>
        <v>7.5000000000000002E-4</v>
      </c>
      <c r="BN8" s="563">
        <f t="shared" ref="BN8:BN20" si="12">SUM(BF8:BH8)*1000</f>
        <v>3.88572429198849</v>
      </c>
      <c r="BO8" s="563" t="e">
        <f t="shared" ref="BO8:BO20" si="13">SUM(BI8:BM8)*1000</f>
        <v>#VALUE!</v>
      </c>
      <c r="BP8" s="611" t="e">
        <f t="shared" ref="BP8:BP20" si="14">BN8/BO8</f>
        <v>#VALUE!</v>
      </c>
      <c r="BR8" s="564">
        <f t="shared" ref="BR8:BR20" si="15">1.375*G8</f>
        <v>0.108625</v>
      </c>
      <c r="BS8" s="564">
        <f t="shared" ref="BS8:BS20" si="16">1.29*F8</f>
        <v>9.8040000000000002E-2</v>
      </c>
      <c r="BT8" s="564" t="e">
        <f t="shared" ref="BT8:BT20" si="17">2.5*H8</f>
        <v>#VALUE!</v>
      </c>
      <c r="BU8" s="564">
        <f t="shared" ref="BU8:BU20" si="18">1.6*AZ8</f>
        <v>4.16</v>
      </c>
      <c r="BV8" s="564">
        <f t="shared" ref="BV8:BV20" si="19">BA8</f>
        <v>0.87</v>
      </c>
      <c r="BW8" s="564">
        <f t="shared" ref="BW8:BW20" si="20">9.19/1000*N8</f>
        <v>1.3785000000000001</v>
      </c>
      <c r="BX8" s="564" t="e">
        <f t="shared" ref="BX8:BX20" si="21">Q8/1000*1.4</f>
        <v>#VALUE!</v>
      </c>
      <c r="BY8" s="564">
        <f t="shared" ref="BY8:BY20" si="22">W8/1000*1.38</f>
        <v>9.5219999999999999E-2</v>
      </c>
      <c r="BZ8" s="564">
        <f t="shared" ref="BZ8:BZ20" si="23">S8/1000*1.67</f>
        <v>2.0039999999999999E-2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0.74927953890489907</v>
      </c>
      <c r="CE8" s="610">
        <f t="shared" ref="CE8:CE20" si="27">BB8/AZ8</f>
        <v>0.46153846153846151</v>
      </c>
      <c r="CF8" s="610">
        <f t="shared" si="0"/>
        <v>0.56999999999999995</v>
      </c>
      <c r="CG8" s="610" t="e">
        <f t="shared" si="1"/>
        <v>#VALUE!</v>
      </c>
    </row>
    <row r="9" spans="2:85" ht="20.149999999999999" customHeight="1" x14ac:dyDescent="0.2">
      <c r="B9" s="31" t="s">
        <v>61</v>
      </c>
      <c r="C9" s="37" t="s">
        <v>200</v>
      </c>
      <c r="D9" s="33">
        <v>16.399999999999999</v>
      </c>
      <c r="E9" s="34">
        <v>5.1000000000000004E-3</v>
      </c>
      <c r="F9" s="35">
        <v>0.42</v>
      </c>
      <c r="G9" s="35">
        <v>3</v>
      </c>
      <c r="H9" s="36">
        <v>3.3000000000000002E-2</v>
      </c>
      <c r="I9" s="35">
        <v>1.5</v>
      </c>
      <c r="J9" s="35">
        <v>3.3000000000000002E-2</v>
      </c>
      <c r="K9" s="35">
        <v>6.4999999999999997E-3</v>
      </c>
      <c r="L9" s="32">
        <v>2.1000000000000001E-2</v>
      </c>
      <c r="M9" s="34" t="s">
        <v>232</v>
      </c>
      <c r="N9" s="35">
        <v>77</v>
      </c>
      <c r="O9" s="35" t="s">
        <v>232</v>
      </c>
      <c r="P9" s="35" t="s">
        <v>232</v>
      </c>
      <c r="Q9" s="35" t="s">
        <v>232</v>
      </c>
      <c r="R9" s="35">
        <v>3.1E-2</v>
      </c>
      <c r="S9" s="35" t="s">
        <v>556</v>
      </c>
      <c r="T9" s="35">
        <v>2</v>
      </c>
      <c r="U9" s="35">
        <v>1</v>
      </c>
      <c r="V9" s="35">
        <v>2</v>
      </c>
      <c r="W9" s="35">
        <v>24</v>
      </c>
      <c r="X9" s="35">
        <v>1.7</v>
      </c>
      <c r="Y9" s="35">
        <v>7.7</v>
      </c>
      <c r="Z9" s="35">
        <v>1.2</v>
      </c>
      <c r="AA9" s="35">
        <v>29</v>
      </c>
      <c r="AB9" s="35">
        <v>0.28999999999999998</v>
      </c>
      <c r="AC9" s="35">
        <v>5.5E-2</v>
      </c>
      <c r="AD9" s="35" t="s">
        <v>232</v>
      </c>
      <c r="AE9" s="35">
        <v>0.32</v>
      </c>
      <c r="AF9" s="35">
        <v>0.85</v>
      </c>
      <c r="AG9" s="35">
        <v>8.9999999999999993E-3</v>
      </c>
      <c r="AH9" s="35">
        <v>0.77</v>
      </c>
      <c r="AI9" s="35">
        <v>4.1000000000000002E-2</v>
      </c>
      <c r="AJ9" s="35" t="s">
        <v>496</v>
      </c>
      <c r="AK9" s="35" t="s">
        <v>581</v>
      </c>
      <c r="AL9" s="33">
        <v>0.22</v>
      </c>
      <c r="AM9" s="33">
        <v>0.26</v>
      </c>
      <c r="AN9" s="33" t="s">
        <v>232</v>
      </c>
      <c r="AO9" s="33" t="s">
        <v>323</v>
      </c>
      <c r="AP9" s="35" t="s">
        <v>194</v>
      </c>
      <c r="AQ9" s="32"/>
      <c r="AR9" s="34">
        <v>0.16</v>
      </c>
      <c r="AS9" s="36">
        <v>1.2</v>
      </c>
      <c r="AT9" s="36">
        <v>1.1000000000000001</v>
      </c>
      <c r="AU9" s="36">
        <v>0.76</v>
      </c>
      <c r="AV9" s="36">
        <v>0.9</v>
      </c>
      <c r="AW9" s="35">
        <v>1.6</v>
      </c>
      <c r="AX9" s="33">
        <v>0.21</v>
      </c>
      <c r="AY9" s="33" t="s">
        <v>67</v>
      </c>
      <c r="AZ9" s="33">
        <v>4.0999999999999996</v>
      </c>
      <c r="BA9" s="33">
        <v>0.91</v>
      </c>
      <c r="BB9" s="32">
        <v>3.1</v>
      </c>
      <c r="BC9" s="619">
        <f t="shared" si="2"/>
        <v>1.0048780487804878</v>
      </c>
      <c r="BD9" s="610">
        <f t="shared" si="3"/>
        <v>1</v>
      </c>
      <c r="BF9" s="610">
        <f t="shared" si="4"/>
        <v>1.4366197183098592E-4</v>
      </c>
      <c r="BG9" s="610">
        <f t="shared" si="5"/>
        <v>6.7741935483870966E-3</v>
      </c>
      <c r="BH9" s="610">
        <f t="shared" si="6"/>
        <v>6.25E-2</v>
      </c>
      <c r="BI9" s="610">
        <f t="shared" si="7"/>
        <v>1.4347826086956522E-3</v>
      </c>
      <c r="BJ9" s="610">
        <f t="shared" si="8"/>
        <v>8.3333333333333329E-2</v>
      </c>
      <c r="BK9" s="610">
        <f t="shared" si="9"/>
        <v>8.461538461538462E-4</v>
      </c>
      <c r="BL9" s="610">
        <f t="shared" si="10"/>
        <v>5.3497942386831272E-4</v>
      </c>
      <c r="BM9" s="610">
        <f t="shared" si="11"/>
        <v>1.0500000000000002E-3</v>
      </c>
      <c r="BN9" s="563">
        <f t="shared" si="12"/>
        <v>69.417855520218083</v>
      </c>
      <c r="BO9" s="563">
        <f t="shared" si="13"/>
        <v>87.199249212051129</v>
      </c>
      <c r="BP9" s="611">
        <f t="shared" si="14"/>
        <v>0.79608317901233006</v>
      </c>
      <c r="BR9" s="564">
        <f t="shared" si="15"/>
        <v>4.125</v>
      </c>
      <c r="BS9" s="564">
        <f t="shared" si="16"/>
        <v>0.54179999999999995</v>
      </c>
      <c r="BT9" s="564">
        <f t="shared" si="17"/>
        <v>8.2500000000000004E-2</v>
      </c>
      <c r="BU9" s="564">
        <f t="shared" si="18"/>
        <v>6.56</v>
      </c>
      <c r="BV9" s="564">
        <f t="shared" si="19"/>
        <v>0.91</v>
      </c>
      <c r="BW9" s="564">
        <f t="shared" si="20"/>
        <v>0.70762999999999998</v>
      </c>
      <c r="BX9" s="564" t="e">
        <f t="shared" si="21"/>
        <v>#VALUE!</v>
      </c>
      <c r="BY9" s="564">
        <f t="shared" si="22"/>
        <v>3.3119999999999997E-2</v>
      </c>
      <c r="BZ9" s="564" t="e">
        <f t="shared" si="23"/>
        <v>#VALUE!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0.81836327345309379</v>
      </c>
      <c r="CE9" s="610">
        <f t="shared" si="27"/>
        <v>0.75609756097560987</v>
      </c>
      <c r="CF9" s="610">
        <f t="shared" si="0"/>
        <v>0.70000000000000007</v>
      </c>
      <c r="CG9" s="610" t="e">
        <f t="shared" si="1"/>
        <v>#VALUE!</v>
      </c>
    </row>
    <row r="10" spans="2:85" ht="20.149999999999999" customHeight="1" x14ac:dyDescent="0.2">
      <c r="B10" s="31" t="s">
        <v>61</v>
      </c>
      <c r="C10" s="32" t="s">
        <v>82</v>
      </c>
      <c r="D10" s="33">
        <v>40.4</v>
      </c>
      <c r="E10" s="34">
        <v>1.7999999999999999E-2</v>
      </c>
      <c r="F10" s="35">
        <v>2.1</v>
      </c>
      <c r="G10" s="35">
        <v>11</v>
      </c>
      <c r="H10" s="36">
        <v>0.21</v>
      </c>
      <c r="I10" s="35">
        <v>4.5999999999999996</v>
      </c>
      <c r="J10" s="35">
        <v>0.11</v>
      </c>
      <c r="K10" s="35">
        <v>0.02</v>
      </c>
      <c r="L10" s="32">
        <v>3.5999999999999997E-2</v>
      </c>
      <c r="M10" s="34" t="s">
        <v>232</v>
      </c>
      <c r="N10" s="35">
        <v>130</v>
      </c>
      <c r="O10" s="35" t="s">
        <v>232</v>
      </c>
      <c r="P10" s="35" t="s">
        <v>232</v>
      </c>
      <c r="Q10" s="35" t="s">
        <v>232</v>
      </c>
      <c r="R10" s="35" t="s">
        <v>73</v>
      </c>
      <c r="S10" s="35">
        <v>15</v>
      </c>
      <c r="T10" s="35">
        <v>11</v>
      </c>
      <c r="U10" s="35">
        <v>2.2999999999999998</v>
      </c>
      <c r="V10" s="35">
        <v>6.1</v>
      </c>
      <c r="W10" s="35">
        <v>160</v>
      </c>
      <c r="X10" s="35">
        <v>2.6</v>
      </c>
      <c r="Y10" s="35">
        <v>7.9</v>
      </c>
      <c r="Z10" s="35">
        <v>4.5</v>
      </c>
      <c r="AA10" s="35">
        <v>48</v>
      </c>
      <c r="AB10" s="35">
        <v>0.69</v>
      </c>
      <c r="AC10" s="35">
        <v>0.22</v>
      </c>
      <c r="AD10" s="35" t="s">
        <v>232</v>
      </c>
      <c r="AE10" s="35">
        <v>2.2000000000000002</v>
      </c>
      <c r="AF10" s="35">
        <v>2.5</v>
      </c>
      <c r="AG10" s="35">
        <v>5.0999999999999997E-2</v>
      </c>
      <c r="AH10" s="35">
        <v>3.8</v>
      </c>
      <c r="AI10" s="35">
        <v>0.33</v>
      </c>
      <c r="AJ10" s="35">
        <v>0.56999999999999995</v>
      </c>
      <c r="AK10" s="35" t="s">
        <v>581</v>
      </c>
      <c r="AL10" s="33" t="s">
        <v>470</v>
      </c>
      <c r="AM10" s="33">
        <v>0.74</v>
      </c>
      <c r="AN10" s="33" t="s">
        <v>232</v>
      </c>
      <c r="AO10" s="33" t="s">
        <v>323</v>
      </c>
      <c r="AP10" s="35">
        <v>8.8000000000000007</v>
      </c>
      <c r="AQ10" s="32"/>
      <c r="AR10" s="34">
        <v>0.25</v>
      </c>
      <c r="AS10" s="36">
        <v>2.8</v>
      </c>
      <c r="AT10" s="36">
        <v>1.6</v>
      </c>
      <c r="AU10" s="36">
        <v>1.5</v>
      </c>
      <c r="AV10" s="36">
        <v>1.9</v>
      </c>
      <c r="AW10" s="35">
        <v>3.6</v>
      </c>
      <c r="AX10" s="33" t="s">
        <v>246</v>
      </c>
      <c r="AY10" s="33" t="s">
        <v>67</v>
      </c>
      <c r="AZ10" s="33">
        <v>8.1</v>
      </c>
      <c r="BA10" s="33">
        <v>1.8</v>
      </c>
      <c r="BB10" s="32">
        <v>6.2</v>
      </c>
      <c r="BC10" s="619">
        <f t="shared" si="2"/>
        <v>0.99382716049382724</v>
      </c>
      <c r="BD10" s="610">
        <f t="shared" si="3"/>
        <v>0.94444444444444453</v>
      </c>
      <c r="BF10" s="610">
        <f t="shared" si="4"/>
        <v>5.070422535211267E-4</v>
      </c>
      <c r="BG10" s="610">
        <f t="shared" si="5"/>
        <v>3.3870967741935487E-2</v>
      </c>
      <c r="BH10" s="610">
        <f t="shared" si="6"/>
        <v>0.22916666666666666</v>
      </c>
      <c r="BI10" s="610">
        <f t="shared" si="7"/>
        <v>9.1304347826086946E-3</v>
      </c>
      <c r="BJ10" s="610">
        <f t="shared" si="8"/>
        <v>0.25555555555555554</v>
      </c>
      <c r="BK10" s="610">
        <f t="shared" si="9"/>
        <v>2.8205128205128207E-3</v>
      </c>
      <c r="BL10" s="610">
        <f t="shared" si="10"/>
        <v>1.6460905349794238E-3</v>
      </c>
      <c r="BM10" s="610">
        <f t="shared" si="11"/>
        <v>1.8E-3</v>
      </c>
      <c r="BN10" s="563">
        <f t="shared" si="12"/>
        <v>263.54467666212327</v>
      </c>
      <c r="BO10" s="563">
        <f t="shared" si="13"/>
        <v>270.95259369365652</v>
      </c>
      <c r="BP10" s="611">
        <f t="shared" si="14"/>
        <v>0.97265973013748386</v>
      </c>
      <c r="BR10" s="564">
        <f t="shared" si="15"/>
        <v>15.125</v>
      </c>
      <c r="BS10" s="564">
        <f t="shared" si="16"/>
        <v>2.7090000000000001</v>
      </c>
      <c r="BT10" s="564">
        <f t="shared" si="17"/>
        <v>0.52500000000000002</v>
      </c>
      <c r="BU10" s="564">
        <f t="shared" si="18"/>
        <v>12.96</v>
      </c>
      <c r="BV10" s="564">
        <f t="shared" si="19"/>
        <v>1.8</v>
      </c>
      <c r="BW10" s="564">
        <f t="shared" si="20"/>
        <v>1.1947000000000001</v>
      </c>
      <c r="BX10" s="564" t="e">
        <f t="shared" si="21"/>
        <v>#VALUE!</v>
      </c>
      <c r="BY10" s="564">
        <f t="shared" si="22"/>
        <v>0.2208</v>
      </c>
      <c r="BZ10" s="564">
        <f t="shared" si="23"/>
        <v>2.5049999999999999E-2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0.81818181818181812</v>
      </c>
      <c r="CE10" s="610">
        <f t="shared" si="27"/>
        <v>0.76543209876543217</v>
      </c>
      <c r="CF10" s="610">
        <f t="shared" si="0"/>
        <v>1.7000000000000002</v>
      </c>
      <c r="CG10" s="610" t="e">
        <f t="shared" si="1"/>
        <v>#VALUE!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24.8</v>
      </c>
      <c r="E11" s="42">
        <v>3.3E-3</v>
      </c>
      <c r="F11" s="43">
        <v>5.3999999999999999E-2</v>
      </c>
      <c r="G11" s="43">
        <v>6.9</v>
      </c>
      <c r="H11" s="44">
        <v>0.13</v>
      </c>
      <c r="I11" s="43">
        <v>2.7</v>
      </c>
      <c r="J11" s="43">
        <v>0.1</v>
      </c>
      <c r="K11" s="43">
        <v>1.9E-2</v>
      </c>
      <c r="L11" s="45">
        <v>0.02</v>
      </c>
      <c r="M11" s="42" t="s">
        <v>232</v>
      </c>
      <c r="N11" s="43">
        <v>67</v>
      </c>
      <c r="O11" s="43" t="s">
        <v>232</v>
      </c>
      <c r="P11" s="43" t="s">
        <v>232</v>
      </c>
      <c r="Q11" s="43" t="s">
        <v>232</v>
      </c>
      <c r="R11" s="43" t="s">
        <v>73</v>
      </c>
      <c r="S11" s="43" t="s">
        <v>556</v>
      </c>
      <c r="T11" s="43">
        <v>6.5</v>
      </c>
      <c r="U11" s="43">
        <v>2.4</v>
      </c>
      <c r="V11" s="43">
        <v>3</v>
      </c>
      <c r="W11" s="43">
        <v>81</v>
      </c>
      <c r="X11" s="43">
        <v>0.99</v>
      </c>
      <c r="Y11" s="43" t="s">
        <v>575</v>
      </c>
      <c r="Z11" s="43">
        <v>3.5</v>
      </c>
      <c r="AA11" s="43">
        <v>47</v>
      </c>
      <c r="AB11" s="43">
        <v>0.44</v>
      </c>
      <c r="AC11" s="43">
        <v>0.12</v>
      </c>
      <c r="AD11" s="43" t="s">
        <v>232</v>
      </c>
      <c r="AE11" s="43">
        <v>1.1000000000000001</v>
      </c>
      <c r="AF11" s="43">
        <v>1.3</v>
      </c>
      <c r="AG11" s="43">
        <v>2.1999999999999999E-2</v>
      </c>
      <c r="AH11" s="43">
        <v>4.8</v>
      </c>
      <c r="AI11" s="43">
        <v>0.16</v>
      </c>
      <c r="AJ11" s="43">
        <v>0.3</v>
      </c>
      <c r="AK11" s="43" t="s">
        <v>581</v>
      </c>
      <c r="AL11" s="41">
        <v>3.5999999999999997E-2</v>
      </c>
      <c r="AM11" s="41">
        <v>1</v>
      </c>
      <c r="AN11" s="41" t="s">
        <v>232</v>
      </c>
      <c r="AO11" s="41" t="s">
        <v>323</v>
      </c>
      <c r="AP11" s="43">
        <v>6.3</v>
      </c>
      <c r="AQ11" s="45"/>
      <c r="AR11" s="42">
        <v>0.18</v>
      </c>
      <c r="AS11" s="44">
        <v>2</v>
      </c>
      <c r="AT11" s="44">
        <v>1.3</v>
      </c>
      <c r="AU11" s="44">
        <v>1.2</v>
      </c>
      <c r="AV11" s="44">
        <v>1.4</v>
      </c>
      <c r="AW11" s="43">
        <v>1.9</v>
      </c>
      <c r="AX11" s="41">
        <v>0.17</v>
      </c>
      <c r="AY11" s="41" t="s">
        <v>67</v>
      </c>
      <c r="AZ11" s="41">
        <v>6.1</v>
      </c>
      <c r="BA11" s="41">
        <v>0.67</v>
      </c>
      <c r="BB11" s="45">
        <v>5.2</v>
      </c>
      <c r="BC11" s="620">
        <f t="shared" si="2"/>
        <v>0.99672131147540988</v>
      </c>
      <c r="BD11" s="617">
        <f t="shared" si="3"/>
        <v>0.99999999999999989</v>
      </c>
      <c r="BE11" s="616"/>
      <c r="BF11" s="617">
        <f t="shared" si="4"/>
        <v>9.2957746478873233E-5</v>
      </c>
      <c r="BG11" s="617">
        <f t="shared" si="5"/>
        <v>8.7096774193548391E-4</v>
      </c>
      <c r="BH11" s="617">
        <f t="shared" si="6"/>
        <v>0.14375000000000002</v>
      </c>
      <c r="BI11" s="617">
        <f t="shared" si="7"/>
        <v>5.6521739130434784E-3</v>
      </c>
      <c r="BJ11" s="617">
        <f t="shared" si="8"/>
        <v>0.15000000000000002</v>
      </c>
      <c r="BK11" s="617">
        <f t="shared" si="9"/>
        <v>2.5641025641025641E-3</v>
      </c>
      <c r="BL11" s="617">
        <f t="shared" si="10"/>
        <v>1.5637860082304525E-3</v>
      </c>
      <c r="BM11" s="617">
        <f t="shared" si="11"/>
        <v>1E-3</v>
      </c>
      <c r="BN11" s="621">
        <f t="shared" si="12"/>
        <v>144.71392548841439</v>
      </c>
      <c r="BO11" s="621">
        <f t="shared" si="13"/>
        <v>160.7800624853765</v>
      </c>
      <c r="BP11" s="618">
        <f t="shared" si="14"/>
        <v>0.9000738229068459</v>
      </c>
      <c r="BQ11" s="616"/>
      <c r="BR11" s="615">
        <f t="shared" si="15"/>
        <v>9.4875000000000007</v>
      </c>
      <c r="BS11" s="615">
        <f t="shared" si="16"/>
        <v>6.966E-2</v>
      </c>
      <c r="BT11" s="615">
        <f t="shared" si="17"/>
        <v>0.32500000000000001</v>
      </c>
      <c r="BU11" s="615">
        <f t="shared" si="18"/>
        <v>9.76</v>
      </c>
      <c r="BV11" s="615">
        <f t="shared" si="19"/>
        <v>0.67</v>
      </c>
      <c r="BW11" s="615">
        <f t="shared" si="20"/>
        <v>0.61573</v>
      </c>
      <c r="BX11" s="615" t="e">
        <f t="shared" si="21"/>
        <v>#VALUE!</v>
      </c>
      <c r="BY11" s="615">
        <f t="shared" si="22"/>
        <v>0.11177999999999999</v>
      </c>
      <c r="BZ11" s="615" t="e">
        <f t="shared" si="23"/>
        <v>#VALUE!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0.90103397341211222</v>
      </c>
      <c r="CE11" s="617">
        <f t="shared" si="27"/>
        <v>0.85245901639344268</v>
      </c>
      <c r="CF11" s="617">
        <f t="shared" si="0"/>
        <v>0.5</v>
      </c>
      <c r="CG11" s="617" t="e">
        <f t="shared" si="1"/>
        <v>#VALUE!</v>
      </c>
    </row>
    <row r="12" spans="2:85" ht="20.149999999999999" customHeight="1" x14ac:dyDescent="0.2">
      <c r="B12" s="31" t="s">
        <v>202</v>
      </c>
      <c r="C12" s="46" t="s">
        <v>203</v>
      </c>
      <c r="D12" s="47">
        <v>23.2</v>
      </c>
      <c r="E12" s="48">
        <v>1.7999999999999999E-2</v>
      </c>
      <c r="F12" s="49">
        <v>0.68</v>
      </c>
      <c r="G12" s="49">
        <v>7.8</v>
      </c>
      <c r="H12" s="50">
        <v>0.3</v>
      </c>
      <c r="I12" s="49">
        <v>3.4</v>
      </c>
      <c r="J12" s="49">
        <v>4.9000000000000002E-2</v>
      </c>
      <c r="K12" s="49">
        <v>0.04</v>
      </c>
      <c r="L12" s="37">
        <v>2.1000000000000001E-2</v>
      </c>
      <c r="M12" s="48" t="s">
        <v>232</v>
      </c>
      <c r="N12" s="49">
        <v>62</v>
      </c>
      <c r="O12" s="49" t="s">
        <v>232</v>
      </c>
      <c r="P12" s="49" t="s">
        <v>232</v>
      </c>
      <c r="Q12" s="49" t="s">
        <v>232</v>
      </c>
      <c r="R12" s="625">
        <f t="shared" ref="R12:R17" si="28">0.018/2</f>
        <v>8.9999999999999993E-3</v>
      </c>
      <c r="S12" s="625">
        <f>9.4/2</f>
        <v>4.7</v>
      </c>
      <c r="T12" s="49">
        <v>7.8</v>
      </c>
      <c r="U12" s="49">
        <v>1.7</v>
      </c>
      <c r="V12" s="49">
        <v>1.6</v>
      </c>
      <c r="W12" s="625">
        <f>17/2</f>
        <v>8.5</v>
      </c>
      <c r="X12" s="625">
        <f>0.5*0.62</f>
        <v>0.31</v>
      </c>
      <c r="Y12" s="625">
        <f>0.5*7.5</f>
        <v>3.75</v>
      </c>
      <c r="Z12" s="49">
        <v>1.3</v>
      </c>
      <c r="AA12" s="625">
        <f>0.5*15</f>
        <v>7.5</v>
      </c>
      <c r="AB12" s="49">
        <v>0.84</v>
      </c>
      <c r="AC12" s="49">
        <v>7.5999999999999998E-2</v>
      </c>
      <c r="AD12" s="49" t="s">
        <v>232</v>
      </c>
      <c r="AE12" s="49">
        <v>0.22</v>
      </c>
      <c r="AF12" s="625">
        <f>0.5*0.56</f>
        <v>0.28000000000000003</v>
      </c>
      <c r="AG12" s="625">
        <f>0.5*0.0034</f>
        <v>1.6999999999999999E-3</v>
      </c>
      <c r="AH12" s="49">
        <v>0.93</v>
      </c>
      <c r="AI12" s="49">
        <v>2.8000000000000001E-2</v>
      </c>
      <c r="AJ12" s="625">
        <f>0.5*0.057</f>
        <v>2.8500000000000001E-2</v>
      </c>
      <c r="AK12" s="625">
        <f t="shared" ref="AK12:AK18" si="29">0.5*0.0069</f>
        <v>3.4499999999999999E-3</v>
      </c>
      <c r="AL12" s="627">
        <f>0.5*0.027</f>
        <v>1.35E-2</v>
      </c>
      <c r="AM12" s="47">
        <v>8.6999999999999994E-2</v>
      </c>
      <c r="AN12" s="47" t="s">
        <v>232</v>
      </c>
      <c r="AO12" s="627">
        <f t="shared" ref="AO12:AO18" si="30">0.5*0.031</f>
        <v>1.55E-2</v>
      </c>
      <c r="AP12" s="625">
        <f>0.5*2.5</f>
        <v>1.25</v>
      </c>
      <c r="AQ12" s="37"/>
      <c r="AR12" s="48">
        <v>0.14000000000000001</v>
      </c>
      <c r="AS12" s="50">
        <v>1.5</v>
      </c>
      <c r="AT12" s="50">
        <v>0.66</v>
      </c>
      <c r="AU12" s="50">
        <v>0.75</v>
      </c>
      <c r="AV12" s="50">
        <v>1.1000000000000001</v>
      </c>
      <c r="AW12" s="49">
        <v>1.4</v>
      </c>
      <c r="AX12" s="47">
        <v>0.2</v>
      </c>
      <c r="AY12" s="627">
        <f t="shared" ref="AY12:AY18" si="31">0.5*0.11</f>
        <v>5.5E-2</v>
      </c>
      <c r="AZ12" s="47">
        <v>4.2</v>
      </c>
      <c r="BA12" s="47">
        <v>0.53</v>
      </c>
      <c r="BB12" s="37">
        <v>3.3</v>
      </c>
      <c r="BC12" s="619">
        <f t="shared" si="2"/>
        <v>0.98809523809523814</v>
      </c>
      <c r="BD12" s="610">
        <f t="shared" si="3"/>
        <v>1.0471698113207542</v>
      </c>
      <c r="BF12" s="610">
        <f t="shared" si="4"/>
        <v>5.070422535211267E-4</v>
      </c>
      <c r="BG12" s="610">
        <f t="shared" si="5"/>
        <v>1.0967741935483872E-2</v>
      </c>
      <c r="BH12" s="610">
        <f t="shared" si="6"/>
        <v>0.16250000000000001</v>
      </c>
      <c r="BI12" s="610">
        <f t="shared" si="7"/>
        <v>1.3043478260869565E-2</v>
      </c>
      <c r="BJ12" s="610">
        <f t="shared" si="8"/>
        <v>0.18888888888888888</v>
      </c>
      <c r="BK12" s="610">
        <f t="shared" si="9"/>
        <v>1.2564102564102564E-3</v>
      </c>
      <c r="BL12" s="610">
        <f t="shared" si="10"/>
        <v>3.2921810699588477E-3</v>
      </c>
      <c r="BM12" s="610">
        <f t="shared" si="11"/>
        <v>1.0500000000000002E-3</v>
      </c>
      <c r="BN12" s="563">
        <f t="shared" si="12"/>
        <v>173.97478418900499</v>
      </c>
      <c r="BO12" s="563">
        <f t="shared" si="13"/>
        <v>207.53095847612758</v>
      </c>
      <c r="BP12" s="611">
        <f t="shared" si="14"/>
        <v>0.83830762150610616</v>
      </c>
      <c r="BR12" s="564">
        <f t="shared" si="15"/>
        <v>10.725</v>
      </c>
      <c r="BS12" s="564">
        <f t="shared" si="16"/>
        <v>0.87720000000000009</v>
      </c>
      <c r="BT12" s="564">
        <f t="shared" si="17"/>
        <v>0.75</v>
      </c>
      <c r="BU12" s="564">
        <f t="shared" si="18"/>
        <v>6.7200000000000006</v>
      </c>
      <c r="BV12" s="564">
        <f t="shared" si="19"/>
        <v>0.53</v>
      </c>
      <c r="BW12" s="564">
        <f t="shared" si="20"/>
        <v>0.56978000000000006</v>
      </c>
      <c r="BX12" s="564"/>
      <c r="BY12" s="564">
        <f t="shared" si="22"/>
        <v>1.1729999999999999E-2</v>
      </c>
      <c r="BZ12" s="564">
        <f t="shared" si="23"/>
        <v>7.8490000000000001E-3</v>
      </c>
      <c r="CA12" s="564">
        <f t="shared" si="24"/>
        <v>20.191559000000005</v>
      </c>
      <c r="CB12" s="611">
        <f t="shared" si="25"/>
        <v>0.87032581896551753</v>
      </c>
      <c r="CC12" s="610"/>
      <c r="CD12" s="610">
        <f t="shared" si="26"/>
        <v>0.88794926004228325</v>
      </c>
      <c r="CE12" s="610">
        <f t="shared" si="27"/>
        <v>0.78571428571428559</v>
      </c>
      <c r="CF12" s="610">
        <f t="shared" si="0"/>
        <v>0.29999999999999982</v>
      </c>
      <c r="CG12" s="610">
        <f t="shared" si="1"/>
        <v>0.255</v>
      </c>
    </row>
    <row r="13" spans="2:85" ht="20.149999999999999" customHeight="1" x14ac:dyDescent="0.2">
      <c r="B13" s="31" t="s">
        <v>202</v>
      </c>
      <c r="C13" s="40" t="s">
        <v>204</v>
      </c>
      <c r="D13" s="33">
        <v>27.9</v>
      </c>
      <c r="E13" s="34">
        <v>5.1999999999999998E-3</v>
      </c>
      <c r="F13" s="35">
        <v>0.19</v>
      </c>
      <c r="G13" s="35">
        <v>9.5</v>
      </c>
      <c r="H13" s="36">
        <v>0.18</v>
      </c>
      <c r="I13" s="35">
        <v>3.8</v>
      </c>
      <c r="J13" s="35">
        <v>7.8E-2</v>
      </c>
      <c r="K13" s="35">
        <v>2.1999999999999999E-2</v>
      </c>
      <c r="L13" s="32">
        <v>2.3E-2</v>
      </c>
      <c r="M13" s="34" t="s">
        <v>232</v>
      </c>
      <c r="N13" s="624">
        <f>38/2</f>
        <v>19</v>
      </c>
      <c r="O13" s="35" t="s">
        <v>232</v>
      </c>
      <c r="P13" s="35" t="s">
        <v>232</v>
      </c>
      <c r="Q13" s="35" t="s">
        <v>232</v>
      </c>
      <c r="R13" s="625">
        <f t="shared" si="28"/>
        <v>8.9999999999999993E-3</v>
      </c>
      <c r="S13" s="625">
        <f>9.4/2</f>
        <v>4.7</v>
      </c>
      <c r="T13" s="35">
        <v>6.6</v>
      </c>
      <c r="U13" s="624">
        <f>0.84/2</f>
        <v>0.42</v>
      </c>
      <c r="V13" s="35">
        <v>3.7</v>
      </c>
      <c r="W13" s="35">
        <v>34</v>
      </c>
      <c r="X13" s="35">
        <v>1.8</v>
      </c>
      <c r="Y13" s="624">
        <f>0.5*7.5</f>
        <v>3.75</v>
      </c>
      <c r="Z13" s="35">
        <v>2.5</v>
      </c>
      <c r="AA13" s="35">
        <v>32</v>
      </c>
      <c r="AB13" s="35">
        <v>1.4</v>
      </c>
      <c r="AC13" s="35">
        <v>0.16</v>
      </c>
      <c r="AD13" s="35" t="s">
        <v>232</v>
      </c>
      <c r="AE13" s="35">
        <v>0.67</v>
      </c>
      <c r="AF13" s="624">
        <f>0.5*0.56</f>
        <v>0.28000000000000003</v>
      </c>
      <c r="AG13" s="35">
        <v>9.9000000000000008E-3</v>
      </c>
      <c r="AH13" s="35">
        <v>1.5</v>
      </c>
      <c r="AI13" s="35">
        <v>5.7000000000000002E-2</v>
      </c>
      <c r="AJ13" s="624">
        <f>0.5*0.057</f>
        <v>2.8500000000000001E-2</v>
      </c>
      <c r="AK13" s="624">
        <f t="shared" si="29"/>
        <v>3.4499999999999999E-3</v>
      </c>
      <c r="AL13" s="628">
        <f>0.5*0.027</f>
        <v>1.35E-2</v>
      </c>
      <c r="AM13" s="33">
        <v>0.14000000000000001</v>
      </c>
      <c r="AN13" s="33" t="s">
        <v>232</v>
      </c>
      <c r="AO13" s="628">
        <f t="shared" si="30"/>
        <v>1.55E-2</v>
      </c>
      <c r="AP13" s="35">
        <v>6.1</v>
      </c>
      <c r="AQ13" s="32"/>
      <c r="AR13" s="34">
        <v>0.17</v>
      </c>
      <c r="AS13" s="36">
        <v>1.8</v>
      </c>
      <c r="AT13" s="36">
        <v>0.83</v>
      </c>
      <c r="AU13" s="36">
        <v>1</v>
      </c>
      <c r="AV13" s="36">
        <v>1.3</v>
      </c>
      <c r="AW13" s="35">
        <v>2.1</v>
      </c>
      <c r="AX13" s="33">
        <v>0.17</v>
      </c>
      <c r="AY13" s="628">
        <f t="shared" si="31"/>
        <v>5.5E-2</v>
      </c>
      <c r="AZ13" s="33">
        <v>5.0999999999999996</v>
      </c>
      <c r="BA13" s="33">
        <v>0.97</v>
      </c>
      <c r="BB13" s="32">
        <v>4.8</v>
      </c>
      <c r="BC13" s="619">
        <f t="shared" si="2"/>
        <v>1</v>
      </c>
      <c r="BD13" s="610">
        <f t="shared" si="3"/>
        <v>1.0567010309278353</v>
      </c>
      <c r="BF13" s="610">
        <f t="shared" si="4"/>
        <v>1.4647887323943661E-4</v>
      </c>
      <c r="BG13" s="610">
        <f t="shared" si="5"/>
        <v>3.0645161290322582E-3</v>
      </c>
      <c r="BH13" s="610">
        <f t="shared" si="6"/>
        <v>0.19791666666666666</v>
      </c>
      <c r="BI13" s="610">
        <f t="shared" si="7"/>
        <v>7.826086956521738E-3</v>
      </c>
      <c r="BJ13" s="610">
        <f t="shared" si="8"/>
        <v>0.21111111111111111</v>
      </c>
      <c r="BK13" s="610">
        <f t="shared" si="9"/>
        <v>2E-3</v>
      </c>
      <c r="BL13" s="610">
        <f t="shared" si="10"/>
        <v>1.810699588477366E-3</v>
      </c>
      <c r="BM13" s="610">
        <f t="shared" si="11"/>
        <v>1.15E-3</v>
      </c>
      <c r="BN13" s="563">
        <f t="shared" si="12"/>
        <v>201.12766166893837</v>
      </c>
      <c r="BO13" s="563">
        <f t="shared" si="13"/>
        <v>223.89789765611025</v>
      </c>
      <c r="BP13" s="611">
        <f t="shared" si="14"/>
        <v>0.89830080485103447</v>
      </c>
      <c r="BR13" s="564">
        <f t="shared" si="15"/>
        <v>13.0625</v>
      </c>
      <c r="BS13" s="564">
        <f t="shared" si="16"/>
        <v>0.24510000000000001</v>
      </c>
      <c r="BT13" s="564">
        <f t="shared" si="17"/>
        <v>0.44999999999999996</v>
      </c>
      <c r="BU13" s="564">
        <f t="shared" si="18"/>
        <v>8.16</v>
      </c>
      <c r="BV13" s="564">
        <f t="shared" si="19"/>
        <v>0.97</v>
      </c>
      <c r="BW13" s="564">
        <f t="shared" si="20"/>
        <v>0.17461000000000002</v>
      </c>
      <c r="BX13" s="564"/>
      <c r="BY13" s="564">
        <f t="shared" si="22"/>
        <v>4.6919999999999996E-2</v>
      </c>
      <c r="BZ13" s="564">
        <f t="shared" si="23"/>
        <v>7.8490000000000001E-3</v>
      </c>
      <c r="CA13" s="564">
        <f t="shared" si="24"/>
        <v>23.116979000000001</v>
      </c>
      <c r="CB13" s="611">
        <f t="shared" si="25"/>
        <v>0.82856555555555567</v>
      </c>
      <c r="CC13" s="610"/>
      <c r="CD13" s="610">
        <f t="shared" si="26"/>
        <v>0.84019769357495888</v>
      </c>
      <c r="CE13" s="610">
        <f t="shared" si="27"/>
        <v>0.94117647058823528</v>
      </c>
      <c r="CF13" s="610">
        <f t="shared" ref="CF13:CF20" si="32">IF(AW13-AV13&gt;0,AW13-AV13,0)</f>
        <v>0.8</v>
      </c>
      <c r="CG13" s="610">
        <f t="shared" ref="CG13:CG20" si="33">IF(AW13-AV13&gt;0,AX13+AY13,AW13+AX13+AY13-AV13)</f>
        <v>0.22500000000000001</v>
      </c>
    </row>
    <row r="14" spans="2:85" ht="20.149999999999999" customHeight="1" x14ac:dyDescent="0.2">
      <c r="B14" s="31" t="s">
        <v>202</v>
      </c>
      <c r="C14" s="32" t="s">
        <v>205</v>
      </c>
      <c r="D14" s="33">
        <v>19.600000000000001</v>
      </c>
      <c r="E14" s="34">
        <v>2.2000000000000001E-3</v>
      </c>
      <c r="F14" s="35">
        <v>4.2999999999999997E-2</v>
      </c>
      <c r="G14" s="35">
        <v>6.4</v>
      </c>
      <c r="H14" s="36">
        <v>0.16</v>
      </c>
      <c r="I14" s="35">
        <v>2.5</v>
      </c>
      <c r="J14" s="35">
        <v>7.8E-2</v>
      </c>
      <c r="K14" s="35">
        <v>1.7999999999999999E-2</v>
      </c>
      <c r="L14" s="32">
        <v>1.4999999999999999E-2</v>
      </c>
      <c r="M14" s="34" t="s">
        <v>232</v>
      </c>
      <c r="N14" s="624">
        <f>38/2</f>
        <v>19</v>
      </c>
      <c r="O14" s="35" t="s">
        <v>232</v>
      </c>
      <c r="P14" s="35" t="s">
        <v>232</v>
      </c>
      <c r="Q14" s="35" t="s">
        <v>232</v>
      </c>
      <c r="R14" s="625">
        <f t="shared" si="28"/>
        <v>8.9999999999999993E-3</v>
      </c>
      <c r="S14" s="625">
        <f>9.4/2</f>
        <v>4.7</v>
      </c>
      <c r="T14" s="35">
        <v>4.5999999999999996</v>
      </c>
      <c r="U14" s="35">
        <v>3.8</v>
      </c>
      <c r="V14" s="35">
        <v>13</v>
      </c>
      <c r="W14" s="35">
        <v>100</v>
      </c>
      <c r="X14" s="624">
        <f>0.5*0.62</f>
        <v>0.31</v>
      </c>
      <c r="Y14" s="624">
        <f>0.5*7.5</f>
        <v>3.75</v>
      </c>
      <c r="Z14" s="35">
        <v>6.5</v>
      </c>
      <c r="AA14" s="35">
        <v>32</v>
      </c>
      <c r="AB14" s="35">
        <v>0.68</v>
      </c>
      <c r="AC14" s="35">
        <v>0.1</v>
      </c>
      <c r="AD14" s="35" t="s">
        <v>232</v>
      </c>
      <c r="AE14" s="35">
        <v>0.69</v>
      </c>
      <c r="AF14" s="35">
        <v>2.7</v>
      </c>
      <c r="AG14" s="35">
        <v>1.2E-2</v>
      </c>
      <c r="AH14" s="35">
        <v>2.4</v>
      </c>
      <c r="AI14" s="35">
        <v>9.1999999999999998E-2</v>
      </c>
      <c r="AJ14" s="35">
        <v>6.0999999999999999E-2</v>
      </c>
      <c r="AK14" s="624">
        <f t="shared" si="29"/>
        <v>3.4499999999999999E-3</v>
      </c>
      <c r="AL14" s="628">
        <f>0.5*0.027</f>
        <v>1.35E-2</v>
      </c>
      <c r="AM14" s="33">
        <v>0.16</v>
      </c>
      <c r="AN14" s="33" t="s">
        <v>232</v>
      </c>
      <c r="AO14" s="628">
        <f t="shared" si="30"/>
        <v>1.55E-2</v>
      </c>
      <c r="AP14" s="35">
        <v>4.4000000000000004</v>
      </c>
      <c r="AQ14" s="32"/>
      <c r="AR14" s="34">
        <v>0.11</v>
      </c>
      <c r="AS14" s="36">
        <v>1.4</v>
      </c>
      <c r="AT14" s="36">
        <v>0.85</v>
      </c>
      <c r="AU14" s="36">
        <v>0.82</v>
      </c>
      <c r="AV14" s="36">
        <v>0.97</v>
      </c>
      <c r="AW14" s="35">
        <v>1.6</v>
      </c>
      <c r="AX14" s="33">
        <v>0.19</v>
      </c>
      <c r="AY14" s="628">
        <f t="shared" si="31"/>
        <v>5.5E-2</v>
      </c>
      <c r="AZ14" s="33">
        <v>4.2</v>
      </c>
      <c r="BA14" s="33">
        <v>0.83</v>
      </c>
      <c r="BB14" s="32">
        <v>3.2</v>
      </c>
      <c r="BC14" s="619">
        <f t="shared" si="2"/>
        <v>0.98809523809523792</v>
      </c>
      <c r="BD14" s="610">
        <f t="shared" si="3"/>
        <v>1.0542168674698795</v>
      </c>
      <c r="BF14" s="610">
        <f t="shared" si="4"/>
        <v>6.1971830985915502E-5</v>
      </c>
      <c r="BG14" s="610">
        <f t="shared" si="5"/>
        <v>6.9354838709677412E-4</v>
      </c>
      <c r="BH14" s="610">
        <f t="shared" si="6"/>
        <v>0.13333333333333333</v>
      </c>
      <c r="BI14" s="610">
        <f t="shared" si="7"/>
        <v>6.956521739130435E-3</v>
      </c>
      <c r="BJ14" s="610">
        <f t="shared" si="8"/>
        <v>0.1388888888888889</v>
      </c>
      <c r="BK14" s="610">
        <f t="shared" si="9"/>
        <v>2E-3</v>
      </c>
      <c r="BL14" s="610">
        <f t="shared" si="10"/>
        <v>1.4814814814814814E-3</v>
      </c>
      <c r="BM14" s="610">
        <f t="shared" si="11"/>
        <v>7.5000000000000002E-4</v>
      </c>
      <c r="BN14" s="563">
        <f t="shared" si="12"/>
        <v>134.08885355141604</v>
      </c>
      <c r="BO14" s="563">
        <f t="shared" si="13"/>
        <v>150.07689210950082</v>
      </c>
      <c r="BP14" s="611">
        <f t="shared" si="14"/>
        <v>0.89346768624166728</v>
      </c>
      <c r="BR14" s="564">
        <f t="shared" si="15"/>
        <v>8.8000000000000007</v>
      </c>
      <c r="BS14" s="564">
        <f t="shared" si="16"/>
        <v>5.5469999999999998E-2</v>
      </c>
      <c r="BT14" s="564">
        <f t="shared" si="17"/>
        <v>0.4</v>
      </c>
      <c r="BU14" s="564">
        <f t="shared" si="18"/>
        <v>6.7200000000000006</v>
      </c>
      <c r="BV14" s="564">
        <f t="shared" si="19"/>
        <v>0.83</v>
      </c>
      <c r="BW14" s="564">
        <f t="shared" si="20"/>
        <v>0.17461000000000002</v>
      </c>
      <c r="BX14" s="564"/>
      <c r="BY14" s="564">
        <f t="shared" si="22"/>
        <v>0.13799999999999998</v>
      </c>
      <c r="BZ14" s="564">
        <f t="shared" si="23"/>
        <v>7.8490000000000001E-3</v>
      </c>
      <c r="CA14" s="564">
        <f t="shared" si="24"/>
        <v>17.125929000000003</v>
      </c>
      <c r="CB14" s="611">
        <f t="shared" si="25"/>
        <v>0.87377188775510217</v>
      </c>
      <c r="CC14" s="610"/>
      <c r="CD14" s="610">
        <f t="shared" si="26"/>
        <v>0.83499005964214712</v>
      </c>
      <c r="CE14" s="610">
        <f t="shared" si="27"/>
        <v>0.76190476190476186</v>
      </c>
      <c r="CF14" s="610">
        <f t="shared" si="32"/>
        <v>0.63000000000000012</v>
      </c>
      <c r="CG14" s="610">
        <f t="shared" si="33"/>
        <v>0.245</v>
      </c>
    </row>
    <row r="15" spans="2:85" ht="20.149999999999999" customHeight="1" x14ac:dyDescent="0.2">
      <c r="B15" s="31" t="s">
        <v>202</v>
      </c>
      <c r="C15" s="32" t="s">
        <v>206</v>
      </c>
      <c r="D15" s="33">
        <v>20.5</v>
      </c>
      <c r="E15" s="623">
        <f>0.0013/2</f>
        <v>6.4999999999999997E-4</v>
      </c>
      <c r="F15" s="35">
        <v>0.35</v>
      </c>
      <c r="G15" s="35">
        <v>7.2</v>
      </c>
      <c r="H15" s="36">
        <v>0.18</v>
      </c>
      <c r="I15" s="35">
        <v>2.2999999999999998</v>
      </c>
      <c r="J15" s="35">
        <v>0.08</v>
      </c>
      <c r="K15" s="35">
        <v>4.8000000000000001E-2</v>
      </c>
      <c r="L15" s="32">
        <v>0.21</v>
      </c>
      <c r="M15" s="34" t="s">
        <v>232</v>
      </c>
      <c r="N15" s="624">
        <f>38/2</f>
        <v>19</v>
      </c>
      <c r="O15" s="35" t="s">
        <v>232</v>
      </c>
      <c r="P15" s="35" t="s">
        <v>232</v>
      </c>
      <c r="Q15" s="35" t="s">
        <v>232</v>
      </c>
      <c r="R15" s="625">
        <f t="shared" si="28"/>
        <v>8.9999999999999993E-3</v>
      </c>
      <c r="S15" s="35">
        <v>19</v>
      </c>
      <c r="T15" s="624">
        <f>0.1/2</f>
        <v>0.05</v>
      </c>
      <c r="U15" s="624">
        <f>0.5*0.84</f>
        <v>0.42</v>
      </c>
      <c r="V15" s="624">
        <f>0.52/2</f>
        <v>0.26</v>
      </c>
      <c r="W15" s="624">
        <f>0.5*17</f>
        <v>8.5</v>
      </c>
      <c r="X15" s="624">
        <f>0.5*0.62</f>
        <v>0.31</v>
      </c>
      <c r="Y15" s="624">
        <f>0.5*7.5</f>
        <v>3.75</v>
      </c>
      <c r="Z15" s="35">
        <v>0.25</v>
      </c>
      <c r="AA15" s="624">
        <f>0.5*15</f>
        <v>7.5</v>
      </c>
      <c r="AB15" s="624">
        <f>0.5*0.077</f>
        <v>3.85E-2</v>
      </c>
      <c r="AC15" s="624">
        <f>0.5*0.02</f>
        <v>0.01</v>
      </c>
      <c r="AD15" s="35" t="s">
        <v>232</v>
      </c>
      <c r="AE15" s="624">
        <f>0.5*0.12</f>
        <v>0.06</v>
      </c>
      <c r="AF15" s="624">
        <f>0.5*0.56</f>
        <v>0.28000000000000003</v>
      </c>
      <c r="AG15" s="624">
        <f>0.5*0.0034</f>
        <v>1.6999999999999999E-3</v>
      </c>
      <c r="AH15" s="624">
        <f>0.5*0.58</f>
        <v>0.28999999999999998</v>
      </c>
      <c r="AI15" s="624">
        <f>0.5*0.019</f>
        <v>9.4999999999999998E-3</v>
      </c>
      <c r="AJ15" s="624">
        <f>0.5*0.057</f>
        <v>2.8500000000000001E-2</v>
      </c>
      <c r="AK15" s="624">
        <f t="shared" si="29"/>
        <v>3.4499999999999999E-3</v>
      </c>
      <c r="AL15" s="33">
        <v>0.15</v>
      </c>
      <c r="AM15" s="628">
        <f>0.5*0.074</f>
        <v>3.6999999999999998E-2</v>
      </c>
      <c r="AN15" s="33" t="s">
        <v>232</v>
      </c>
      <c r="AO15" s="628">
        <f t="shared" si="30"/>
        <v>1.55E-2</v>
      </c>
      <c r="AP15" s="624">
        <f>0.5*2.5</f>
        <v>1.25</v>
      </c>
      <c r="AQ15" s="32"/>
      <c r="AR15" s="34">
        <v>0.12</v>
      </c>
      <c r="AS15" s="36">
        <v>1.3</v>
      </c>
      <c r="AT15" s="36">
        <v>0.86</v>
      </c>
      <c r="AU15" s="36">
        <v>0.7</v>
      </c>
      <c r="AV15" s="36">
        <v>1.2</v>
      </c>
      <c r="AW15" s="35">
        <v>1.9</v>
      </c>
      <c r="AX15" s="33">
        <v>0.19</v>
      </c>
      <c r="AY15" s="628">
        <f t="shared" si="31"/>
        <v>5.5E-2</v>
      </c>
      <c r="AZ15" s="33">
        <v>4.2</v>
      </c>
      <c r="BA15" s="33">
        <v>0.89</v>
      </c>
      <c r="BB15" s="32">
        <v>3.4</v>
      </c>
      <c r="BC15" s="619">
        <f t="shared" si="2"/>
        <v>0.99523809523809514</v>
      </c>
      <c r="BD15" s="610">
        <f t="shared" si="3"/>
        <v>1.0617977528089888</v>
      </c>
      <c r="BF15" s="610">
        <f t="shared" si="4"/>
        <v>1.8309859154929577E-5</v>
      </c>
      <c r="BG15" s="610">
        <f t="shared" si="5"/>
        <v>5.6451612903225803E-3</v>
      </c>
      <c r="BH15" s="610">
        <f t="shared" si="6"/>
        <v>0.15</v>
      </c>
      <c r="BI15" s="610">
        <f t="shared" si="7"/>
        <v>7.826086956521738E-3</v>
      </c>
      <c r="BJ15" s="610">
        <f t="shared" si="8"/>
        <v>0.12777777777777777</v>
      </c>
      <c r="BK15" s="610">
        <f t="shared" si="9"/>
        <v>2.0512820512820513E-3</v>
      </c>
      <c r="BL15" s="610">
        <f t="shared" si="10"/>
        <v>3.9506172839506174E-3</v>
      </c>
      <c r="BM15" s="610">
        <f t="shared" si="11"/>
        <v>1.0499999999999999E-2</v>
      </c>
      <c r="BN15" s="563">
        <f t="shared" si="12"/>
        <v>155.66347114947752</v>
      </c>
      <c r="BO15" s="563">
        <f t="shared" si="13"/>
        <v>152.1057640695322</v>
      </c>
      <c r="BP15" s="611">
        <f t="shared" si="14"/>
        <v>1.0233896927030259</v>
      </c>
      <c r="BR15" s="564">
        <f t="shared" si="15"/>
        <v>9.9</v>
      </c>
      <c r="BS15" s="564">
        <f t="shared" si="16"/>
        <v>0.45149999999999996</v>
      </c>
      <c r="BT15" s="564">
        <f t="shared" si="17"/>
        <v>0.44999999999999996</v>
      </c>
      <c r="BU15" s="564">
        <f t="shared" si="18"/>
        <v>6.7200000000000006</v>
      </c>
      <c r="BV15" s="564">
        <f t="shared" si="19"/>
        <v>0.89</v>
      </c>
      <c r="BW15" s="564">
        <f t="shared" si="20"/>
        <v>0.17461000000000002</v>
      </c>
      <c r="BX15" s="564"/>
      <c r="BY15" s="564">
        <f t="shared" si="22"/>
        <v>1.1729999999999999E-2</v>
      </c>
      <c r="BZ15" s="564">
        <f t="shared" si="23"/>
        <v>3.1730000000000001E-2</v>
      </c>
      <c r="CA15" s="564">
        <f t="shared" si="24"/>
        <v>18.629570000000001</v>
      </c>
      <c r="CB15" s="611">
        <f t="shared" si="25"/>
        <v>0.90875951219512197</v>
      </c>
      <c r="CC15" s="610"/>
      <c r="CD15" s="610">
        <f t="shared" si="26"/>
        <v>0.825147347740668</v>
      </c>
      <c r="CE15" s="610">
        <f t="shared" si="27"/>
        <v>0.80952380952380942</v>
      </c>
      <c r="CF15" s="610">
        <f t="shared" si="32"/>
        <v>0.7</v>
      </c>
      <c r="CG15" s="610">
        <f t="shared" si="33"/>
        <v>0.245</v>
      </c>
    </row>
    <row r="16" spans="2:85" ht="20.149999999999999" customHeight="1" x14ac:dyDescent="0.2">
      <c r="B16" s="31" t="s">
        <v>202</v>
      </c>
      <c r="C16" s="32" t="s">
        <v>207</v>
      </c>
      <c r="D16" s="33">
        <v>30.8</v>
      </c>
      <c r="E16" s="34">
        <v>2E-3</v>
      </c>
      <c r="F16" s="35">
        <v>0.2</v>
      </c>
      <c r="G16" s="35">
        <v>11</v>
      </c>
      <c r="H16" s="36">
        <v>7.2999999999999995E-2</v>
      </c>
      <c r="I16" s="35">
        <v>4.4000000000000004</v>
      </c>
      <c r="J16" s="35">
        <v>9.7000000000000003E-2</v>
      </c>
      <c r="K16" s="35">
        <v>1.2E-2</v>
      </c>
      <c r="L16" s="32">
        <v>2.5000000000000001E-2</v>
      </c>
      <c r="M16" s="34" t="s">
        <v>232</v>
      </c>
      <c r="N16" s="624">
        <f>38/2</f>
        <v>19</v>
      </c>
      <c r="O16" s="35" t="s">
        <v>232</v>
      </c>
      <c r="P16" s="35" t="s">
        <v>232</v>
      </c>
      <c r="Q16" s="35" t="s">
        <v>232</v>
      </c>
      <c r="R16" s="625">
        <f t="shared" si="28"/>
        <v>8.9999999999999993E-3</v>
      </c>
      <c r="S16" s="35">
        <v>14</v>
      </c>
      <c r="T16" s="35">
        <v>12</v>
      </c>
      <c r="U16" s="35">
        <v>2.1</v>
      </c>
      <c r="V16" s="35">
        <v>7.1</v>
      </c>
      <c r="W16" s="35">
        <v>100</v>
      </c>
      <c r="X16" s="624">
        <f>0.5*0.62</f>
        <v>0.31</v>
      </c>
      <c r="Y16" s="624">
        <f>0.5*7.5</f>
        <v>3.75</v>
      </c>
      <c r="Z16" s="35">
        <v>4.0999999999999996</v>
      </c>
      <c r="AA16" s="35">
        <v>30</v>
      </c>
      <c r="AB16" s="35">
        <v>1.5</v>
      </c>
      <c r="AC16" s="35">
        <v>0.24</v>
      </c>
      <c r="AD16" s="35" t="s">
        <v>232</v>
      </c>
      <c r="AE16" s="35">
        <v>0.66</v>
      </c>
      <c r="AF16" s="35">
        <v>1.2</v>
      </c>
      <c r="AG16" s="35">
        <v>6.6000000000000003E-2</v>
      </c>
      <c r="AH16" s="35">
        <v>3.4</v>
      </c>
      <c r="AI16" s="35">
        <v>0.14000000000000001</v>
      </c>
      <c r="AJ16" s="35">
        <v>0.24</v>
      </c>
      <c r="AK16" s="624">
        <f t="shared" si="29"/>
        <v>3.4499999999999999E-3</v>
      </c>
      <c r="AL16" s="628">
        <f>0.5*0.027</f>
        <v>1.35E-2</v>
      </c>
      <c r="AM16" s="33">
        <v>0.39</v>
      </c>
      <c r="AN16" s="33" t="s">
        <v>232</v>
      </c>
      <c r="AO16" s="628">
        <f t="shared" si="30"/>
        <v>1.55E-2</v>
      </c>
      <c r="AP16" s="35">
        <v>13</v>
      </c>
      <c r="AQ16" s="32"/>
      <c r="AR16" s="34">
        <v>0.1</v>
      </c>
      <c r="AS16" s="36">
        <v>1.8</v>
      </c>
      <c r="AT16" s="36">
        <v>0.67</v>
      </c>
      <c r="AU16" s="36">
        <v>0.89</v>
      </c>
      <c r="AV16" s="36">
        <v>1.3</v>
      </c>
      <c r="AW16" s="35">
        <v>2.1</v>
      </c>
      <c r="AX16" s="33">
        <v>0.16</v>
      </c>
      <c r="AY16" s="628">
        <f t="shared" si="31"/>
        <v>5.5E-2</v>
      </c>
      <c r="AZ16" s="33">
        <v>4.8</v>
      </c>
      <c r="BA16" s="33">
        <v>0.96</v>
      </c>
      <c r="BB16" s="32">
        <v>3.6</v>
      </c>
      <c r="BC16" s="619">
        <f t="shared" si="2"/>
        <v>0.99166666666666681</v>
      </c>
      <c r="BD16" s="610">
        <f t="shared" si="3"/>
        <v>1.057291666666667</v>
      </c>
      <c r="BF16" s="610">
        <f t="shared" si="4"/>
        <v>5.6338028169014086E-5</v>
      </c>
      <c r="BG16" s="610">
        <f t="shared" si="5"/>
        <v>3.2258064516129032E-3</v>
      </c>
      <c r="BH16" s="610">
        <f t="shared" si="6"/>
        <v>0.22916666666666666</v>
      </c>
      <c r="BI16" s="610">
        <f t="shared" si="7"/>
        <v>3.1739130434782605E-3</v>
      </c>
      <c r="BJ16" s="610">
        <f t="shared" si="8"/>
        <v>0.24444444444444446</v>
      </c>
      <c r="BK16" s="610">
        <f t="shared" si="9"/>
        <v>2.4871794871794872E-3</v>
      </c>
      <c r="BL16" s="610">
        <f t="shared" si="10"/>
        <v>9.8765432098765434E-4</v>
      </c>
      <c r="BM16" s="610">
        <f t="shared" si="11"/>
        <v>1.25E-3</v>
      </c>
      <c r="BN16" s="563">
        <f t="shared" si="12"/>
        <v>232.44881114644858</v>
      </c>
      <c r="BO16" s="563">
        <f t="shared" si="13"/>
        <v>252.3431912960898</v>
      </c>
      <c r="BP16" s="611">
        <f t="shared" si="14"/>
        <v>0.92116141494660764</v>
      </c>
      <c r="BR16" s="564">
        <f t="shared" si="15"/>
        <v>15.125</v>
      </c>
      <c r="BS16" s="564">
        <f t="shared" si="16"/>
        <v>0.25800000000000001</v>
      </c>
      <c r="BT16" s="564">
        <f t="shared" si="17"/>
        <v>0.1825</v>
      </c>
      <c r="BU16" s="564">
        <f t="shared" si="18"/>
        <v>7.68</v>
      </c>
      <c r="BV16" s="564">
        <f t="shared" si="19"/>
        <v>0.96</v>
      </c>
      <c r="BW16" s="564">
        <f t="shared" si="20"/>
        <v>0.17461000000000002</v>
      </c>
      <c r="BX16" s="564"/>
      <c r="BY16" s="564">
        <f t="shared" si="22"/>
        <v>0.13799999999999998</v>
      </c>
      <c r="BZ16" s="564">
        <f t="shared" si="23"/>
        <v>2.3379999999999998E-2</v>
      </c>
      <c r="CA16" s="564">
        <f t="shared" si="24"/>
        <v>24.541490000000003</v>
      </c>
      <c r="CB16" s="611">
        <f t="shared" si="25"/>
        <v>0.79680162337662341</v>
      </c>
      <c r="CC16" s="610"/>
      <c r="CD16" s="610">
        <f t="shared" si="26"/>
        <v>0.83333333333333337</v>
      </c>
      <c r="CE16" s="610">
        <f t="shared" si="27"/>
        <v>0.75</v>
      </c>
      <c r="CF16" s="610">
        <f t="shared" si="32"/>
        <v>0.8</v>
      </c>
      <c r="CG16" s="610">
        <f t="shared" si="33"/>
        <v>0.215</v>
      </c>
    </row>
    <row r="17" spans="2:85" ht="20.149999999999999" customHeight="1" x14ac:dyDescent="0.2">
      <c r="B17" s="31" t="s">
        <v>202</v>
      </c>
      <c r="C17" s="32" t="s">
        <v>208</v>
      </c>
      <c r="D17" s="33">
        <v>38.5</v>
      </c>
      <c r="E17" s="34">
        <v>3.2000000000000002E-3</v>
      </c>
      <c r="F17" s="35">
        <v>0.15</v>
      </c>
      <c r="G17" s="35">
        <v>17</v>
      </c>
      <c r="H17" s="36">
        <v>8.7999999999999995E-2</v>
      </c>
      <c r="I17" s="35">
        <v>6</v>
      </c>
      <c r="J17" s="35">
        <v>0.14000000000000001</v>
      </c>
      <c r="K17" s="35">
        <v>1.7000000000000001E-2</v>
      </c>
      <c r="L17" s="32">
        <v>3.1E-2</v>
      </c>
      <c r="M17" s="34" t="s">
        <v>232</v>
      </c>
      <c r="N17" s="624">
        <f>38/2</f>
        <v>19</v>
      </c>
      <c r="O17" s="35" t="s">
        <v>232</v>
      </c>
      <c r="P17" s="35" t="s">
        <v>232</v>
      </c>
      <c r="Q17" s="35" t="s">
        <v>232</v>
      </c>
      <c r="R17" s="625">
        <f t="shared" si="28"/>
        <v>8.9999999999999993E-3</v>
      </c>
      <c r="S17" s="624">
        <f>9.4/2</f>
        <v>4.7</v>
      </c>
      <c r="T17" s="35">
        <v>21</v>
      </c>
      <c r="U17" s="35">
        <v>2.5</v>
      </c>
      <c r="V17" s="35">
        <v>33</v>
      </c>
      <c r="W17" s="35">
        <v>230</v>
      </c>
      <c r="X17" s="624">
        <f>0.5*0.62</f>
        <v>0.31</v>
      </c>
      <c r="Y17" s="35">
        <v>36</v>
      </c>
      <c r="Z17" s="35">
        <v>6.3</v>
      </c>
      <c r="AA17" s="35">
        <v>54</v>
      </c>
      <c r="AB17" s="35">
        <v>2.5</v>
      </c>
      <c r="AC17" s="35">
        <v>0.31</v>
      </c>
      <c r="AD17" s="35" t="s">
        <v>232</v>
      </c>
      <c r="AE17" s="35">
        <v>1.1000000000000001</v>
      </c>
      <c r="AF17" s="35">
        <v>1.6</v>
      </c>
      <c r="AG17" s="35">
        <v>9.7000000000000003E-2</v>
      </c>
      <c r="AH17" s="35">
        <v>6.2</v>
      </c>
      <c r="AI17" s="35">
        <v>0.17</v>
      </c>
      <c r="AJ17" s="35">
        <v>0.25</v>
      </c>
      <c r="AK17" s="624">
        <f t="shared" si="29"/>
        <v>3.4499999999999999E-3</v>
      </c>
      <c r="AL17" s="628">
        <f>0.5*0.027</f>
        <v>1.35E-2</v>
      </c>
      <c r="AM17" s="33">
        <v>0.48</v>
      </c>
      <c r="AN17" s="33" t="s">
        <v>232</v>
      </c>
      <c r="AO17" s="628">
        <f t="shared" si="30"/>
        <v>1.55E-2</v>
      </c>
      <c r="AP17" s="35">
        <v>15</v>
      </c>
      <c r="AQ17" s="32"/>
      <c r="AR17" s="34">
        <v>8.8999999999999996E-2</v>
      </c>
      <c r="AS17" s="36">
        <v>1.7</v>
      </c>
      <c r="AT17" s="36">
        <v>0.49</v>
      </c>
      <c r="AU17" s="36">
        <v>0.75</v>
      </c>
      <c r="AV17" s="36">
        <v>1.2</v>
      </c>
      <c r="AW17" s="35">
        <v>2</v>
      </c>
      <c r="AX17" s="33">
        <v>0.18</v>
      </c>
      <c r="AY17" s="628">
        <f t="shared" si="31"/>
        <v>5.5E-2</v>
      </c>
      <c r="AZ17" s="33">
        <v>4.2</v>
      </c>
      <c r="BA17" s="33">
        <v>0.98</v>
      </c>
      <c r="BB17" s="32">
        <v>3.9</v>
      </c>
      <c r="BC17" s="619">
        <f t="shared" si="2"/>
        <v>1.006904761904762</v>
      </c>
      <c r="BD17" s="610">
        <f t="shared" si="3"/>
        <v>1.0561224489795922</v>
      </c>
      <c r="BF17" s="610">
        <f t="shared" si="4"/>
        <v>9.0140845070422535E-5</v>
      </c>
      <c r="BG17" s="610">
        <f t="shared" si="5"/>
        <v>2.4193548387096775E-3</v>
      </c>
      <c r="BH17" s="610">
        <f t="shared" si="6"/>
        <v>0.35416666666666669</v>
      </c>
      <c r="BI17" s="610">
        <f t="shared" si="7"/>
        <v>3.8260869565217388E-3</v>
      </c>
      <c r="BJ17" s="610">
        <f t="shared" si="8"/>
        <v>0.33333333333333331</v>
      </c>
      <c r="BK17" s="610">
        <f t="shared" si="9"/>
        <v>3.5897435897435902E-3</v>
      </c>
      <c r="BL17" s="610">
        <f t="shared" si="10"/>
        <v>1.3991769547325103E-3</v>
      </c>
      <c r="BM17" s="610">
        <f t="shared" si="11"/>
        <v>1.5499999999999999E-3</v>
      </c>
      <c r="BN17" s="563">
        <f t="shared" si="12"/>
        <v>356.67616235044682</v>
      </c>
      <c r="BO17" s="563">
        <f t="shared" si="13"/>
        <v>343.69834083433113</v>
      </c>
      <c r="BP17" s="611">
        <f t="shared" si="14"/>
        <v>1.0377593371111768</v>
      </c>
      <c r="BR17" s="564">
        <f t="shared" si="15"/>
        <v>23.375</v>
      </c>
      <c r="BS17" s="564">
        <f t="shared" si="16"/>
        <v>0.19350000000000001</v>
      </c>
      <c r="BT17" s="564">
        <f t="shared" si="17"/>
        <v>0.21999999999999997</v>
      </c>
      <c r="BU17" s="564">
        <f t="shared" si="18"/>
        <v>6.7200000000000006</v>
      </c>
      <c r="BV17" s="564">
        <f t="shared" si="19"/>
        <v>0.98</v>
      </c>
      <c r="BW17" s="564">
        <f t="shared" si="20"/>
        <v>0.17461000000000002</v>
      </c>
      <c r="BX17" s="564"/>
      <c r="BY17" s="564">
        <f t="shared" si="22"/>
        <v>0.31740000000000002</v>
      </c>
      <c r="BZ17" s="564">
        <f t="shared" si="23"/>
        <v>7.8490000000000001E-3</v>
      </c>
      <c r="CA17" s="564">
        <f t="shared" si="24"/>
        <v>31.988358999999999</v>
      </c>
      <c r="CB17" s="611">
        <f t="shared" si="25"/>
        <v>0.83086646753246751</v>
      </c>
      <c r="CC17" s="610"/>
      <c r="CD17" s="610">
        <f t="shared" si="26"/>
        <v>0.81081081081081086</v>
      </c>
      <c r="CE17" s="610">
        <f t="shared" si="27"/>
        <v>0.92857142857142849</v>
      </c>
      <c r="CF17" s="610">
        <f t="shared" si="32"/>
        <v>0.8</v>
      </c>
      <c r="CG17" s="610">
        <f t="shared" si="33"/>
        <v>0.23499999999999999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28.5</v>
      </c>
      <c r="E18" s="42">
        <v>3.7000000000000002E-3</v>
      </c>
      <c r="F18" s="43">
        <v>3.1E-2</v>
      </c>
      <c r="G18" s="43">
        <v>11</v>
      </c>
      <c r="H18" s="44">
        <v>7.2999999999999995E-2</v>
      </c>
      <c r="I18" s="43">
        <v>4.0999999999999996</v>
      </c>
      <c r="J18" s="43">
        <v>0.15</v>
      </c>
      <c r="K18" s="43">
        <v>1.6E-2</v>
      </c>
      <c r="L18" s="45">
        <v>2.3E-2</v>
      </c>
      <c r="M18" s="42" t="s">
        <v>232</v>
      </c>
      <c r="N18" s="43">
        <v>39</v>
      </c>
      <c r="O18" s="43" t="s">
        <v>232</v>
      </c>
      <c r="P18" s="43" t="s">
        <v>232</v>
      </c>
      <c r="Q18" s="43" t="s">
        <v>232</v>
      </c>
      <c r="R18" s="43">
        <v>0.02</v>
      </c>
      <c r="S18" s="626">
        <f>9.4/2</f>
        <v>4.7</v>
      </c>
      <c r="T18" s="43">
        <v>7.5</v>
      </c>
      <c r="U18" s="43">
        <v>0.95</v>
      </c>
      <c r="V18" s="43">
        <v>4.5999999999999996</v>
      </c>
      <c r="W18" s="43">
        <v>51</v>
      </c>
      <c r="X18" s="626">
        <f>0.5*0.62</f>
        <v>0.31</v>
      </c>
      <c r="Y18" s="626">
        <f>0.5*7.5</f>
        <v>3.75</v>
      </c>
      <c r="Z18" s="43">
        <v>5.7</v>
      </c>
      <c r="AA18" s="43">
        <v>54</v>
      </c>
      <c r="AB18" s="43">
        <v>1.7</v>
      </c>
      <c r="AC18" s="43">
        <v>0.25</v>
      </c>
      <c r="AD18" s="43" t="s">
        <v>232</v>
      </c>
      <c r="AE18" s="43">
        <v>0.8</v>
      </c>
      <c r="AF18" s="43">
        <v>1.7</v>
      </c>
      <c r="AG18" s="43">
        <v>4.2999999999999997E-2</v>
      </c>
      <c r="AH18" s="43">
        <v>7.5</v>
      </c>
      <c r="AI18" s="43">
        <v>7.6999999999999999E-2</v>
      </c>
      <c r="AJ18" s="626">
        <f>0.5*0.057</f>
        <v>2.8500000000000001E-2</v>
      </c>
      <c r="AK18" s="626">
        <f t="shared" si="29"/>
        <v>3.4499999999999999E-3</v>
      </c>
      <c r="AL18" s="41">
        <v>0.16</v>
      </c>
      <c r="AM18" s="41">
        <v>0.32</v>
      </c>
      <c r="AN18" s="41" t="s">
        <v>232</v>
      </c>
      <c r="AO18" s="629">
        <f t="shared" si="30"/>
        <v>1.55E-2</v>
      </c>
      <c r="AP18" s="43">
        <v>7.7</v>
      </c>
      <c r="AQ18" s="45"/>
      <c r="AR18" s="42">
        <v>0.16</v>
      </c>
      <c r="AS18" s="44">
        <v>1.6</v>
      </c>
      <c r="AT18" s="44">
        <v>0.71</v>
      </c>
      <c r="AU18" s="44">
        <v>0.81</v>
      </c>
      <c r="AV18" s="44">
        <v>1.2</v>
      </c>
      <c r="AW18" s="43">
        <v>1.9</v>
      </c>
      <c r="AX18" s="41">
        <v>0.23</v>
      </c>
      <c r="AY18" s="629">
        <f t="shared" si="31"/>
        <v>5.5E-2</v>
      </c>
      <c r="AZ18" s="41">
        <v>4.5</v>
      </c>
      <c r="BA18" s="41">
        <v>0.95</v>
      </c>
      <c r="BB18" s="45">
        <v>4.3</v>
      </c>
      <c r="BC18" s="620">
        <f t="shared" si="2"/>
        <v>0.99555555555555542</v>
      </c>
      <c r="BD18" s="617">
        <f t="shared" si="3"/>
        <v>1.036842105263158</v>
      </c>
      <c r="BE18" s="616"/>
      <c r="BF18" s="617">
        <f t="shared" si="4"/>
        <v>1.0422535211267607E-4</v>
      </c>
      <c r="BG18" s="617">
        <f t="shared" si="5"/>
        <v>5.0000000000000001E-4</v>
      </c>
      <c r="BH18" s="617">
        <f t="shared" si="6"/>
        <v>0.22916666666666666</v>
      </c>
      <c r="BI18" s="617">
        <f t="shared" si="7"/>
        <v>3.1739130434782605E-3</v>
      </c>
      <c r="BJ18" s="617">
        <f t="shared" si="8"/>
        <v>0.22777777777777775</v>
      </c>
      <c r="BK18" s="617">
        <f t="shared" si="9"/>
        <v>3.8461538461538459E-3</v>
      </c>
      <c r="BL18" s="617">
        <f t="shared" si="10"/>
        <v>1.316872427983539E-3</v>
      </c>
      <c r="BM18" s="617">
        <f t="shared" si="11"/>
        <v>1.15E-3</v>
      </c>
      <c r="BN18" s="621">
        <f t="shared" si="12"/>
        <v>229.77089201877934</v>
      </c>
      <c r="BO18" s="621">
        <f t="shared" si="13"/>
        <v>237.26471709539337</v>
      </c>
      <c r="BP18" s="618">
        <f t="shared" si="14"/>
        <v>0.9684157629151362</v>
      </c>
      <c r="BQ18" s="616"/>
      <c r="BR18" s="615">
        <f t="shared" si="15"/>
        <v>15.125</v>
      </c>
      <c r="BS18" s="615">
        <f t="shared" si="16"/>
        <v>3.9989999999999998E-2</v>
      </c>
      <c r="BT18" s="615">
        <f t="shared" si="17"/>
        <v>0.1825</v>
      </c>
      <c r="BU18" s="615">
        <f t="shared" si="18"/>
        <v>7.2</v>
      </c>
      <c r="BV18" s="615">
        <f t="shared" si="19"/>
        <v>0.95</v>
      </c>
      <c r="BW18" s="615">
        <f t="shared" si="20"/>
        <v>0.35841000000000001</v>
      </c>
      <c r="BX18" s="615"/>
      <c r="BY18" s="615">
        <f t="shared" si="22"/>
        <v>7.0379999999999984E-2</v>
      </c>
      <c r="BZ18" s="615">
        <f t="shared" si="23"/>
        <v>7.8490000000000001E-3</v>
      </c>
      <c r="CA18" s="615">
        <f t="shared" si="24"/>
        <v>23.934128999999999</v>
      </c>
      <c r="CB18" s="618">
        <f t="shared" si="25"/>
        <v>0.83979399999999993</v>
      </c>
      <c r="CC18" s="617"/>
      <c r="CD18" s="617">
        <f t="shared" si="26"/>
        <v>0.82568807339449535</v>
      </c>
      <c r="CE18" s="617">
        <f t="shared" si="27"/>
        <v>0.95555555555555549</v>
      </c>
      <c r="CF18" s="617">
        <f t="shared" si="32"/>
        <v>0.7</v>
      </c>
      <c r="CG18" s="617">
        <f t="shared" si="33"/>
        <v>0.28500000000000003</v>
      </c>
    </row>
    <row r="19" spans="2:85" ht="20.149999999999999" customHeight="1" x14ac:dyDescent="0.2">
      <c r="B19" s="31" t="s">
        <v>61</v>
      </c>
      <c r="C19" s="46" t="s">
        <v>92</v>
      </c>
      <c r="D19" s="47">
        <v>30.5</v>
      </c>
      <c r="E19" s="48">
        <v>1.5E-3</v>
      </c>
      <c r="F19" s="49">
        <v>2.8000000000000001E-2</v>
      </c>
      <c r="G19" s="49">
        <v>14</v>
      </c>
      <c r="H19" s="50">
        <v>7.9000000000000001E-2</v>
      </c>
      <c r="I19" s="49">
        <v>5</v>
      </c>
      <c r="J19" s="49">
        <v>0.1</v>
      </c>
      <c r="K19" s="49">
        <v>1.2999999999999999E-2</v>
      </c>
      <c r="L19" s="37">
        <v>2.8000000000000001E-2</v>
      </c>
      <c r="M19" s="48" t="s">
        <v>232</v>
      </c>
      <c r="N19" s="49" t="s">
        <v>572</v>
      </c>
      <c r="O19" s="49" t="s">
        <v>232</v>
      </c>
      <c r="P19" s="49" t="s">
        <v>232</v>
      </c>
      <c r="Q19" s="49" t="s">
        <v>232</v>
      </c>
      <c r="R19" s="49" t="s">
        <v>73</v>
      </c>
      <c r="S19" s="49">
        <v>34</v>
      </c>
      <c r="T19" s="49">
        <v>7.8</v>
      </c>
      <c r="U19" s="49" t="s">
        <v>573</v>
      </c>
      <c r="V19" s="49">
        <v>4.2</v>
      </c>
      <c r="W19" s="49">
        <v>52</v>
      </c>
      <c r="X19" s="49" t="s">
        <v>574</v>
      </c>
      <c r="Y19" s="49" t="s">
        <v>575</v>
      </c>
      <c r="Z19" s="49">
        <v>5</v>
      </c>
      <c r="AA19" s="49">
        <v>22</v>
      </c>
      <c r="AB19" s="49">
        <v>1.7</v>
      </c>
      <c r="AC19" s="49">
        <v>0.17</v>
      </c>
      <c r="AD19" s="49" t="s">
        <v>232</v>
      </c>
      <c r="AE19" s="49">
        <v>0.35</v>
      </c>
      <c r="AF19" s="49">
        <v>1.2</v>
      </c>
      <c r="AG19" s="49">
        <v>4.7E-2</v>
      </c>
      <c r="AH19" s="49">
        <v>2.2000000000000002</v>
      </c>
      <c r="AI19" s="49">
        <v>7.6999999999999999E-2</v>
      </c>
      <c r="AJ19" s="49">
        <v>0.17</v>
      </c>
      <c r="AK19" s="49" t="s">
        <v>581</v>
      </c>
      <c r="AL19" s="47" t="s">
        <v>470</v>
      </c>
      <c r="AM19" s="47">
        <v>0.15</v>
      </c>
      <c r="AN19" s="47" t="s">
        <v>232</v>
      </c>
      <c r="AO19" s="47" t="s">
        <v>323</v>
      </c>
      <c r="AP19" s="49">
        <v>11</v>
      </c>
      <c r="AQ19" s="37"/>
      <c r="AR19" s="48" t="s">
        <v>584</v>
      </c>
      <c r="AS19" s="50">
        <v>1.5</v>
      </c>
      <c r="AT19" s="50">
        <v>0.38</v>
      </c>
      <c r="AU19" s="50">
        <v>0.67</v>
      </c>
      <c r="AV19" s="50">
        <v>0.98</v>
      </c>
      <c r="AW19" s="49">
        <v>1.6</v>
      </c>
      <c r="AX19" s="47">
        <v>0.21</v>
      </c>
      <c r="AY19" s="47" t="s">
        <v>67</v>
      </c>
      <c r="AZ19" s="47">
        <v>3.6</v>
      </c>
      <c r="BA19" s="47">
        <v>0.83</v>
      </c>
      <c r="BB19" s="37">
        <v>2.9</v>
      </c>
      <c r="BC19" s="619">
        <f t="shared" si="2"/>
        <v>0.98055555555555551</v>
      </c>
      <c r="BD19" s="610">
        <f t="shared" si="3"/>
        <v>1.0000000000000002</v>
      </c>
      <c r="BF19" s="610">
        <f t="shared" si="4"/>
        <v>4.2253521126760563E-5</v>
      </c>
      <c r="BG19" s="610">
        <f t="shared" si="5"/>
        <v>4.5161290322580648E-4</v>
      </c>
      <c r="BH19" s="610">
        <f t="shared" si="6"/>
        <v>0.29166666666666669</v>
      </c>
      <c r="BI19" s="610">
        <f t="shared" si="7"/>
        <v>3.4347826086956524E-3</v>
      </c>
      <c r="BJ19" s="610">
        <f t="shared" si="8"/>
        <v>0.27777777777777779</v>
      </c>
      <c r="BK19" s="610">
        <f t="shared" si="9"/>
        <v>2.5641025641025641E-3</v>
      </c>
      <c r="BL19" s="610">
        <f t="shared" si="10"/>
        <v>1.0699588477366254E-3</v>
      </c>
      <c r="BM19" s="610">
        <f t="shared" si="11"/>
        <v>1.4E-3</v>
      </c>
      <c r="BN19" s="563">
        <f t="shared" si="12"/>
        <v>292.16053309101926</v>
      </c>
      <c r="BO19" s="563">
        <f t="shared" si="13"/>
        <v>286.24662179831267</v>
      </c>
      <c r="BP19" s="611">
        <f t="shared" si="14"/>
        <v>1.0206601959371715</v>
      </c>
      <c r="BR19" s="564">
        <f t="shared" si="15"/>
        <v>19.25</v>
      </c>
      <c r="BS19" s="564">
        <f t="shared" si="16"/>
        <v>3.6119999999999999E-2</v>
      </c>
      <c r="BT19" s="564">
        <f t="shared" si="17"/>
        <v>0.19750000000000001</v>
      </c>
      <c r="BU19" s="564">
        <f t="shared" si="18"/>
        <v>5.7600000000000007</v>
      </c>
      <c r="BV19" s="564">
        <f t="shared" si="19"/>
        <v>0.83</v>
      </c>
      <c r="BW19" s="564" t="e">
        <f t="shared" si="20"/>
        <v>#VALUE!</v>
      </c>
      <c r="BX19" s="564" t="e">
        <f t="shared" si="21"/>
        <v>#VALUE!</v>
      </c>
      <c r="BY19" s="564">
        <f t="shared" si="22"/>
        <v>7.175999999999999E-2</v>
      </c>
      <c r="BZ19" s="564">
        <f t="shared" si="23"/>
        <v>5.6780000000000004E-2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0.81264108352144482</v>
      </c>
      <c r="CE19" s="610">
        <f t="shared" si="27"/>
        <v>0.80555555555555547</v>
      </c>
      <c r="CF19" s="610">
        <f t="shared" si="32"/>
        <v>0.62000000000000011</v>
      </c>
      <c r="CG19" s="610" t="e">
        <f t="shared" si="33"/>
        <v>#VALUE!</v>
      </c>
    </row>
    <row r="20" spans="2:85" ht="20.149999999999999" customHeight="1" x14ac:dyDescent="0.2">
      <c r="B20" s="21" t="s">
        <v>61</v>
      </c>
      <c r="C20" s="52" t="s">
        <v>210</v>
      </c>
      <c r="D20" s="53">
        <v>17.5</v>
      </c>
      <c r="E20" s="54">
        <v>1.6999999999999999E-3</v>
      </c>
      <c r="F20" s="55">
        <v>2.5999999999999999E-2</v>
      </c>
      <c r="G20" s="55">
        <v>7</v>
      </c>
      <c r="H20" s="56">
        <v>7.8E-2</v>
      </c>
      <c r="I20" s="55">
        <v>2.6</v>
      </c>
      <c r="J20" s="55">
        <v>5.0999999999999997E-2</v>
      </c>
      <c r="K20" s="55">
        <v>1.2E-2</v>
      </c>
      <c r="L20" s="52">
        <v>0.02</v>
      </c>
      <c r="M20" s="54" t="s">
        <v>232</v>
      </c>
      <c r="N20" s="55">
        <v>42</v>
      </c>
      <c r="O20" s="55" t="s">
        <v>232</v>
      </c>
      <c r="P20" s="55" t="s">
        <v>232</v>
      </c>
      <c r="Q20" s="55" t="s">
        <v>232</v>
      </c>
      <c r="R20" s="55" t="s">
        <v>73</v>
      </c>
      <c r="S20" s="55">
        <v>26</v>
      </c>
      <c r="T20" s="55">
        <v>7.4</v>
      </c>
      <c r="U20" s="55" t="s">
        <v>573</v>
      </c>
      <c r="V20" s="55">
        <v>2.4</v>
      </c>
      <c r="W20" s="55">
        <v>36</v>
      </c>
      <c r="X20" s="55" t="s">
        <v>574</v>
      </c>
      <c r="Y20" s="55" t="s">
        <v>575</v>
      </c>
      <c r="Z20" s="55">
        <v>1.6</v>
      </c>
      <c r="AA20" s="55" t="s">
        <v>577</v>
      </c>
      <c r="AB20" s="55">
        <v>0.71</v>
      </c>
      <c r="AC20" s="55">
        <v>0.11</v>
      </c>
      <c r="AD20" s="55" t="s">
        <v>232</v>
      </c>
      <c r="AE20" s="55">
        <v>0.24</v>
      </c>
      <c r="AF20" s="55">
        <v>1.3</v>
      </c>
      <c r="AG20" s="55">
        <v>1.7000000000000001E-2</v>
      </c>
      <c r="AH20" s="55">
        <v>1.5</v>
      </c>
      <c r="AI20" s="55">
        <v>6.8000000000000005E-2</v>
      </c>
      <c r="AJ20" s="55">
        <v>0.31</v>
      </c>
      <c r="AK20" s="55" t="s">
        <v>581</v>
      </c>
      <c r="AL20" s="53" t="s">
        <v>470</v>
      </c>
      <c r="AM20" s="53" t="s">
        <v>582</v>
      </c>
      <c r="AN20" s="53" t="s">
        <v>232</v>
      </c>
      <c r="AO20" s="53" t="s">
        <v>323</v>
      </c>
      <c r="AP20" s="55">
        <v>7.7</v>
      </c>
      <c r="AQ20" s="52"/>
      <c r="AR20" s="54" t="s">
        <v>584</v>
      </c>
      <c r="AS20" s="56">
        <v>1.2</v>
      </c>
      <c r="AT20" s="56">
        <v>0.44</v>
      </c>
      <c r="AU20" s="56">
        <v>0.56999999999999995</v>
      </c>
      <c r="AV20" s="56">
        <v>0.78</v>
      </c>
      <c r="AW20" s="55">
        <v>1.3</v>
      </c>
      <c r="AX20" s="53">
        <v>0.23</v>
      </c>
      <c r="AY20" s="53" t="s">
        <v>67</v>
      </c>
      <c r="AZ20" s="53">
        <v>3</v>
      </c>
      <c r="BA20" s="53">
        <v>0.75</v>
      </c>
      <c r="BB20" s="52">
        <v>2</v>
      </c>
      <c r="BC20" s="619">
        <f t="shared" si="2"/>
        <v>0.9966666666666667</v>
      </c>
      <c r="BD20" s="610">
        <f t="shared" si="3"/>
        <v>1</v>
      </c>
      <c r="BF20" s="610">
        <f t="shared" si="4"/>
        <v>4.7887323943661972E-5</v>
      </c>
      <c r="BG20" s="610">
        <f t="shared" si="5"/>
        <v>4.1935483870967738E-4</v>
      </c>
      <c r="BH20" s="610">
        <f t="shared" si="6"/>
        <v>0.14583333333333334</v>
      </c>
      <c r="BI20" s="610">
        <f t="shared" si="7"/>
        <v>3.3913043478260869E-3</v>
      </c>
      <c r="BJ20" s="610">
        <f t="shared" si="8"/>
        <v>0.14444444444444446</v>
      </c>
      <c r="BK20" s="610">
        <f t="shared" si="9"/>
        <v>1.3076923076923077E-3</v>
      </c>
      <c r="BL20" s="610">
        <f t="shared" si="10"/>
        <v>9.8765432098765434E-4</v>
      </c>
      <c r="BM20" s="610">
        <f t="shared" si="11"/>
        <v>1E-3</v>
      </c>
      <c r="BN20" s="563">
        <f t="shared" si="12"/>
        <v>146.30057549598669</v>
      </c>
      <c r="BO20" s="563">
        <f t="shared" si="13"/>
        <v>151.13109542095052</v>
      </c>
      <c r="BP20" s="611">
        <f t="shared" si="14"/>
        <v>0.96803755103137967</v>
      </c>
      <c r="BR20" s="564">
        <f t="shared" si="15"/>
        <v>9.625</v>
      </c>
      <c r="BS20" s="564">
        <f t="shared" si="16"/>
        <v>3.354E-2</v>
      </c>
      <c r="BT20" s="564">
        <f t="shared" si="17"/>
        <v>0.19500000000000001</v>
      </c>
      <c r="BU20" s="564">
        <f t="shared" si="18"/>
        <v>4.8000000000000007</v>
      </c>
      <c r="BV20" s="564">
        <f t="shared" si="19"/>
        <v>0.75</v>
      </c>
      <c r="BW20" s="564">
        <f t="shared" si="20"/>
        <v>0.38597999999999999</v>
      </c>
      <c r="BX20" s="564" t="e">
        <f t="shared" si="21"/>
        <v>#VALUE!</v>
      </c>
      <c r="BY20" s="564">
        <f t="shared" si="22"/>
        <v>4.9679999999999995E-2</v>
      </c>
      <c r="BZ20" s="564">
        <f t="shared" si="23"/>
        <v>4.3419999999999993E-2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0.8</v>
      </c>
      <c r="CE20" s="610">
        <f t="shared" si="27"/>
        <v>0.66666666666666663</v>
      </c>
      <c r="CF20" s="610">
        <f t="shared" si="32"/>
        <v>0.52</v>
      </c>
      <c r="CG20" s="610" t="e">
        <f t="shared" si="33"/>
        <v>#VALUE!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27</v>
      </c>
      <c r="E21" s="541">
        <f t="shared" ref="E21:BB21" si="34">AVERAGE(E12:E18)</f>
        <v>4.9928571428571435E-3</v>
      </c>
      <c r="F21" s="541">
        <f t="shared" si="34"/>
        <v>0.23485714285714285</v>
      </c>
      <c r="G21" s="540">
        <f t="shared" si="34"/>
        <v>9.9857142857142858</v>
      </c>
      <c r="H21" s="541">
        <f t="shared" si="34"/>
        <v>0.15057142857142858</v>
      </c>
      <c r="I21" s="540">
        <f t="shared" si="34"/>
        <v>3.7857142857142856</v>
      </c>
      <c r="J21" s="541">
        <f t="shared" si="34"/>
        <v>9.6000000000000002E-2</v>
      </c>
      <c r="K21" s="541">
        <f t="shared" si="34"/>
        <v>2.471428571428572E-2</v>
      </c>
      <c r="L21" s="541">
        <f t="shared" si="34"/>
        <v>4.9714285714285725E-2</v>
      </c>
      <c r="M21" s="540" t="e">
        <f t="shared" si="34"/>
        <v>#DIV/0!</v>
      </c>
      <c r="N21" s="540">
        <f t="shared" si="34"/>
        <v>28</v>
      </c>
      <c r="O21" s="540" t="e">
        <f t="shared" si="34"/>
        <v>#DIV/0!</v>
      </c>
      <c r="P21" s="540" t="e">
        <f t="shared" si="34"/>
        <v>#DIV/0!</v>
      </c>
      <c r="Q21" s="540" t="e">
        <f t="shared" si="34"/>
        <v>#DIV/0!</v>
      </c>
      <c r="R21" s="540">
        <f t="shared" si="34"/>
        <v>1.057142857142857E-2</v>
      </c>
      <c r="S21" s="540">
        <f t="shared" si="34"/>
        <v>8.071428571428573</v>
      </c>
      <c r="T21" s="540">
        <f t="shared" si="34"/>
        <v>8.5071428571428562</v>
      </c>
      <c r="U21" s="540">
        <f t="shared" si="34"/>
        <v>1.6985714285714284</v>
      </c>
      <c r="V21" s="540">
        <f t="shared" si="34"/>
        <v>9.0371428571428574</v>
      </c>
      <c r="W21" s="540">
        <f t="shared" si="34"/>
        <v>76</v>
      </c>
      <c r="X21" s="540">
        <f t="shared" si="34"/>
        <v>0.52285714285714291</v>
      </c>
      <c r="Y21" s="540">
        <f t="shared" si="34"/>
        <v>8.3571428571428577</v>
      </c>
      <c r="Z21" s="540">
        <f t="shared" si="34"/>
        <v>3.8071428571428569</v>
      </c>
      <c r="AA21" s="540">
        <f t="shared" si="34"/>
        <v>31</v>
      </c>
      <c r="AB21" s="540">
        <f t="shared" si="34"/>
        <v>1.2369285714285714</v>
      </c>
      <c r="AC21" s="541">
        <f t="shared" si="34"/>
        <v>0.1637142857142857</v>
      </c>
      <c r="AD21" s="541" t="e">
        <f t="shared" si="34"/>
        <v>#DIV/0!</v>
      </c>
      <c r="AE21" s="541">
        <f t="shared" si="34"/>
        <v>0.6</v>
      </c>
      <c r="AF21" s="541">
        <f t="shared" si="34"/>
        <v>1.1485714285714284</v>
      </c>
      <c r="AG21" s="541">
        <f t="shared" si="34"/>
        <v>3.3042857142857145E-2</v>
      </c>
      <c r="AH21" s="541">
        <f t="shared" si="34"/>
        <v>3.1742857142857139</v>
      </c>
      <c r="AI21" s="541">
        <f t="shared" si="34"/>
        <v>8.1928571428571434E-2</v>
      </c>
      <c r="AJ21" s="541">
        <f t="shared" si="34"/>
        <v>9.4999999999999987E-2</v>
      </c>
      <c r="AK21" s="541">
        <f t="shared" si="34"/>
        <v>3.4500000000000008E-3</v>
      </c>
      <c r="AL21" s="541">
        <f t="shared" si="34"/>
        <v>5.3928571428571437E-2</v>
      </c>
      <c r="AM21" s="541">
        <f t="shared" si="34"/>
        <v>0.23057142857142859</v>
      </c>
      <c r="AN21" s="541" t="e">
        <f t="shared" si="34"/>
        <v>#DIV/0!</v>
      </c>
      <c r="AO21" s="541">
        <f t="shared" si="34"/>
        <v>1.55E-2</v>
      </c>
      <c r="AP21" s="541">
        <f t="shared" si="34"/>
        <v>6.9571428571428573</v>
      </c>
      <c r="AQ21" s="541" t="e">
        <f t="shared" si="34"/>
        <v>#DIV/0!</v>
      </c>
      <c r="AR21" s="540">
        <f t="shared" si="34"/>
        <v>0.127</v>
      </c>
      <c r="AS21" s="540">
        <f t="shared" si="34"/>
        <v>1.5857142857142854</v>
      </c>
      <c r="AT21" s="540">
        <f t="shared" si="34"/>
        <v>0.7242857142857142</v>
      </c>
      <c r="AU21" s="540">
        <f t="shared" si="34"/>
        <v>0.81714285714285695</v>
      </c>
      <c r="AV21" s="540">
        <f t="shared" si="34"/>
        <v>1.1814285714285713</v>
      </c>
      <c r="AW21" s="540">
        <f t="shared" si="34"/>
        <v>1.8571428571428572</v>
      </c>
      <c r="AX21" s="540">
        <f t="shared" si="34"/>
        <v>0.18857142857142858</v>
      </c>
      <c r="AY21" s="540">
        <f t="shared" si="34"/>
        <v>5.5E-2</v>
      </c>
      <c r="AZ21" s="540">
        <f t="shared" si="34"/>
        <v>4.4571428571428573</v>
      </c>
      <c r="BA21" s="540">
        <f t="shared" si="34"/>
        <v>0.87285714285714289</v>
      </c>
      <c r="BB21" s="540">
        <f t="shared" si="34"/>
        <v>3.7857142857142856</v>
      </c>
      <c r="CD21" s="691">
        <f>AVERAGE(CD12:CD18)</f>
        <v>0.83687379693409958</v>
      </c>
      <c r="CE21" s="691">
        <f>AVERAGE(CE12:CE18)</f>
        <v>0.84749233026543958</v>
      </c>
      <c r="CF21" s="691">
        <f>AVERAGE(CF12:CF18)</f>
        <v>0.6757142857142856</v>
      </c>
      <c r="CG21" s="691">
        <f>AVERAGE(CG12:CG18)</f>
        <v>0.24357142857142858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23.728571428571431</v>
      </c>
      <c r="E22" s="545">
        <f t="shared" ref="E22:BB22" si="35">AVERAGE(E7:E20)</f>
        <v>1.789642857142857E-2</v>
      </c>
      <c r="F22" s="545">
        <f t="shared" si="35"/>
        <v>0.33342857142857146</v>
      </c>
      <c r="G22" s="544">
        <f t="shared" si="35"/>
        <v>8.1127857142857156</v>
      </c>
      <c r="H22" s="545">
        <f t="shared" si="35"/>
        <v>0.14415384615384613</v>
      </c>
      <c r="I22" s="544">
        <f t="shared" si="35"/>
        <v>3.3261538461538462</v>
      </c>
      <c r="J22" s="545">
        <f t="shared" si="35"/>
        <v>8.5384615384615392E-2</v>
      </c>
      <c r="K22" s="545">
        <f t="shared" si="35"/>
        <v>2.1321428571428575E-2</v>
      </c>
      <c r="L22" s="545">
        <f t="shared" si="35"/>
        <v>4.2714285714285719E-2</v>
      </c>
      <c r="M22" s="544" t="e">
        <f t="shared" si="35"/>
        <v>#DIV/0!</v>
      </c>
      <c r="N22" s="544">
        <f t="shared" si="35"/>
        <v>55.166666666666664</v>
      </c>
      <c r="O22" s="544" t="e">
        <f t="shared" si="35"/>
        <v>#DIV/0!</v>
      </c>
      <c r="P22" s="544" t="e">
        <f t="shared" si="35"/>
        <v>#DIV/0!</v>
      </c>
      <c r="Q22" s="544" t="e">
        <f t="shared" si="35"/>
        <v>#DIV/0!</v>
      </c>
      <c r="R22" s="544">
        <f t="shared" si="35"/>
        <v>1.3125E-2</v>
      </c>
      <c r="S22" s="544">
        <f t="shared" si="35"/>
        <v>12.875</v>
      </c>
      <c r="T22" s="544">
        <f t="shared" si="35"/>
        <v>8.0192307692307701</v>
      </c>
      <c r="U22" s="544">
        <f t="shared" si="35"/>
        <v>1.7263636363636363</v>
      </c>
      <c r="V22" s="544">
        <f t="shared" si="35"/>
        <v>6.6123076923076933</v>
      </c>
      <c r="W22" s="544">
        <f t="shared" si="35"/>
        <v>73.384615384615387</v>
      </c>
      <c r="X22" s="544">
        <f t="shared" si="35"/>
        <v>1.0681818181818186</v>
      </c>
      <c r="Y22" s="544">
        <f t="shared" si="35"/>
        <v>8.2333333333333325</v>
      </c>
      <c r="Z22" s="544">
        <f t="shared" si="35"/>
        <v>3.4576923076923078</v>
      </c>
      <c r="AA22" s="544">
        <f t="shared" si="35"/>
        <v>32.5</v>
      </c>
      <c r="AB22" s="544">
        <f t="shared" si="35"/>
        <v>0.9821923076923077</v>
      </c>
      <c r="AC22" s="545">
        <f t="shared" si="35"/>
        <v>0.14853846153846154</v>
      </c>
      <c r="AD22" s="545" t="e">
        <f t="shared" si="35"/>
        <v>#DIV/0!</v>
      </c>
      <c r="AE22" s="545">
        <f t="shared" si="35"/>
        <v>0.69692307692307698</v>
      </c>
      <c r="AF22" s="545">
        <f t="shared" si="35"/>
        <v>1.2658333333333334</v>
      </c>
      <c r="AG22" s="545">
        <f t="shared" si="35"/>
        <v>3.0484615384615384E-2</v>
      </c>
      <c r="AH22" s="545">
        <f t="shared" si="35"/>
        <v>2.9069230769230767</v>
      </c>
      <c r="AI22" s="545">
        <f t="shared" si="35"/>
        <v>0.1038076923076923</v>
      </c>
      <c r="AJ22" s="545">
        <f t="shared" si="35"/>
        <v>0.18269230769230768</v>
      </c>
      <c r="AK22" s="545">
        <f t="shared" si="35"/>
        <v>3.4500000000000008E-3</v>
      </c>
      <c r="AL22" s="545">
        <f t="shared" si="35"/>
        <v>7.038888888888889E-2</v>
      </c>
      <c r="AM22" s="545">
        <f t="shared" si="35"/>
        <v>0.32016666666666671</v>
      </c>
      <c r="AN22" s="545" t="e">
        <f t="shared" si="35"/>
        <v>#DIV/0!</v>
      </c>
      <c r="AO22" s="545">
        <f t="shared" si="35"/>
        <v>1.55E-2</v>
      </c>
      <c r="AP22" s="545">
        <f t="shared" si="35"/>
        <v>7.2166666666666659</v>
      </c>
      <c r="AQ22" s="545" t="e">
        <f t="shared" si="35"/>
        <v>#DIV/0!</v>
      </c>
      <c r="AR22" s="544">
        <f t="shared" si="35"/>
        <v>0.14354545454545453</v>
      </c>
      <c r="AS22" s="544">
        <f t="shared" si="35"/>
        <v>1.5428571428571431</v>
      </c>
      <c r="AT22" s="544">
        <f t="shared" si="35"/>
        <v>0.78214285714285714</v>
      </c>
      <c r="AU22" s="544">
        <f t="shared" si="35"/>
        <v>0.80357142857142871</v>
      </c>
      <c r="AV22" s="544">
        <f t="shared" si="35"/>
        <v>1.0607142857142855</v>
      </c>
      <c r="AW22" s="544">
        <f t="shared" si="35"/>
        <v>1.7371428571428571</v>
      </c>
      <c r="AX22" s="544">
        <f t="shared" si="35"/>
        <v>0.20692307692307693</v>
      </c>
      <c r="AY22" s="544">
        <f t="shared" si="35"/>
        <v>5.5E-2</v>
      </c>
      <c r="AZ22" s="544">
        <f t="shared" si="35"/>
        <v>4.3285714285714283</v>
      </c>
      <c r="BA22" s="544">
        <f t="shared" si="35"/>
        <v>0.87999999999999989</v>
      </c>
      <c r="BB22" s="544">
        <f t="shared" si="35"/>
        <v>3.4571428571428564</v>
      </c>
      <c r="CD22" s="691">
        <f>AVERAGE(CD7:CD20)</f>
        <v>0.8279249713818142</v>
      </c>
      <c r="CE22" s="691">
        <f>AVERAGE(CE7:CE20)</f>
        <v>0.78031472843350247</v>
      </c>
      <c r="CF22" s="691">
        <f>AVERAGE(CF7:CF20)</f>
        <v>0.67642857142857138</v>
      </c>
      <c r="CG22" s="691" t="e">
        <f>AVERAGE(CG7:CG20)</f>
        <v>#VALUE!</v>
      </c>
    </row>
    <row r="23" spans="2:85" ht="20.149999999999999" customHeight="1" x14ac:dyDescent="0.2">
      <c r="B23" s="704" t="s">
        <v>94</v>
      </c>
      <c r="C23" s="705"/>
      <c r="D23" s="57"/>
      <c r="E23" s="30">
        <v>1.2999999999999999E-3</v>
      </c>
      <c r="F23" s="29">
        <v>4.7000000000000002E-3</v>
      </c>
      <c r="G23" s="29">
        <v>8.7000000000000001E-4</v>
      </c>
      <c r="H23" s="30">
        <v>0.01</v>
      </c>
      <c r="I23" s="29">
        <v>1.9E-3</v>
      </c>
      <c r="J23" s="29">
        <v>1.2999999999999999E-3</v>
      </c>
      <c r="K23" s="29">
        <v>1.8E-3</v>
      </c>
      <c r="L23" s="26">
        <v>3.0000000000000001E-3</v>
      </c>
      <c r="M23" s="30" t="s">
        <v>232</v>
      </c>
      <c r="N23" s="29">
        <v>38</v>
      </c>
      <c r="O23" s="29" t="s">
        <v>232</v>
      </c>
      <c r="P23" s="29" t="s">
        <v>232</v>
      </c>
      <c r="Q23" s="29" t="s">
        <v>232</v>
      </c>
      <c r="R23" s="29">
        <v>1.7999999999999999E-2</v>
      </c>
      <c r="S23" s="29">
        <v>9.4</v>
      </c>
      <c r="T23" s="29">
        <v>0.1</v>
      </c>
      <c r="U23" s="29">
        <v>0.84</v>
      </c>
      <c r="V23" s="29">
        <v>0.52</v>
      </c>
      <c r="W23" s="29">
        <v>17</v>
      </c>
      <c r="X23" s="29">
        <v>0.62</v>
      </c>
      <c r="Y23" s="29">
        <v>7.5</v>
      </c>
      <c r="Z23" s="29">
        <v>0.22</v>
      </c>
      <c r="AA23" s="29">
        <v>15</v>
      </c>
      <c r="AB23" s="29">
        <v>7.6999999999999999E-2</v>
      </c>
      <c r="AC23" s="29">
        <v>0.02</v>
      </c>
      <c r="AD23" s="29" t="s">
        <v>232</v>
      </c>
      <c r="AE23" s="29">
        <v>0.12</v>
      </c>
      <c r="AF23" s="29">
        <v>0.56000000000000005</v>
      </c>
      <c r="AG23" s="29">
        <v>3.3999999999999998E-3</v>
      </c>
      <c r="AH23" s="29">
        <v>0.57999999999999996</v>
      </c>
      <c r="AI23" s="29">
        <v>1.9E-2</v>
      </c>
      <c r="AJ23" s="29">
        <v>5.7000000000000002E-2</v>
      </c>
      <c r="AK23" s="29">
        <v>6.8999999999999999E-3</v>
      </c>
      <c r="AL23" s="27">
        <v>2.7E-2</v>
      </c>
      <c r="AM23" s="58">
        <v>7.3999999999999996E-2</v>
      </c>
      <c r="AN23" s="58" t="s">
        <v>232</v>
      </c>
      <c r="AO23" s="58">
        <v>3.1E-2</v>
      </c>
      <c r="AP23" s="59">
        <v>2.5</v>
      </c>
      <c r="AQ23" s="60"/>
      <c r="AR23" s="28">
        <v>8.7999999999999995E-2</v>
      </c>
      <c r="AS23" s="30">
        <v>0.16</v>
      </c>
      <c r="AT23" s="30">
        <v>0.17</v>
      </c>
      <c r="AU23" s="30">
        <v>4.1000000000000002E-2</v>
      </c>
      <c r="AV23" s="30">
        <v>0.12</v>
      </c>
      <c r="AW23" s="29">
        <v>2.5000000000000001E-2</v>
      </c>
      <c r="AX23" s="27">
        <v>0.13</v>
      </c>
      <c r="AY23" s="27">
        <v>0.11</v>
      </c>
      <c r="AZ23" s="27" t="s">
        <v>232</v>
      </c>
      <c r="BA23" s="27" t="s">
        <v>232</v>
      </c>
      <c r="BB23" s="26">
        <v>0.15</v>
      </c>
    </row>
    <row r="24" spans="2:85" ht="20.149999999999999" customHeight="1" x14ac:dyDescent="0.2">
      <c r="B24" s="692" t="s">
        <v>95</v>
      </c>
      <c r="C24" s="693"/>
      <c r="D24" s="61"/>
      <c r="E24" s="56">
        <v>4.4999999999999997E-3</v>
      </c>
      <c r="F24" s="55">
        <v>1.6E-2</v>
      </c>
      <c r="G24" s="55">
        <v>2.8999999999999998E-3</v>
      </c>
      <c r="H24" s="56">
        <v>3.5000000000000003E-2</v>
      </c>
      <c r="I24" s="55">
        <v>6.4000000000000003E-3</v>
      </c>
      <c r="J24" s="55">
        <v>4.1999999999999997E-3</v>
      </c>
      <c r="K24" s="55">
        <v>6.0000000000000001E-3</v>
      </c>
      <c r="L24" s="52">
        <v>0.01</v>
      </c>
      <c r="M24" s="56" t="s">
        <v>232</v>
      </c>
      <c r="N24" s="55">
        <v>130</v>
      </c>
      <c r="O24" s="55" t="s">
        <v>232</v>
      </c>
      <c r="P24" s="55" t="s">
        <v>232</v>
      </c>
      <c r="Q24" s="55" t="s">
        <v>232</v>
      </c>
      <c r="R24" s="55">
        <v>5.8999999999999997E-2</v>
      </c>
      <c r="S24" s="55">
        <v>31</v>
      </c>
      <c r="T24" s="55">
        <v>0.34</v>
      </c>
      <c r="U24" s="55">
        <v>2.8</v>
      </c>
      <c r="V24" s="55">
        <v>1.7</v>
      </c>
      <c r="W24" s="55">
        <v>58</v>
      </c>
      <c r="X24" s="55">
        <v>2.1</v>
      </c>
      <c r="Y24" s="55">
        <v>25</v>
      </c>
      <c r="Z24" s="55">
        <v>0.74</v>
      </c>
      <c r="AA24" s="55">
        <v>49</v>
      </c>
      <c r="AB24" s="55">
        <v>0.26</v>
      </c>
      <c r="AC24" s="55">
        <v>6.8000000000000005E-2</v>
      </c>
      <c r="AD24" s="55" t="s">
        <v>232</v>
      </c>
      <c r="AE24" s="55">
        <v>0.4</v>
      </c>
      <c r="AF24" s="55">
        <v>1.9</v>
      </c>
      <c r="AG24" s="55">
        <v>1.0999999999999999E-2</v>
      </c>
      <c r="AH24" s="55">
        <v>1.9</v>
      </c>
      <c r="AI24" s="55">
        <v>6.2E-2</v>
      </c>
      <c r="AJ24" s="55">
        <v>0.19</v>
      </c>
      <c r="AK24" s="55">
        <v>2.3E-2</v>
      </c>
      <c r="AL24" s="53">
        <v>0.09</v>
      </c>
      <c r="AM24" s="53">
        <v>0.25</v>
      </c>
      <c r="AN24" s="53" t="s">
        <v>232</v>
      </c>
      <c r="AO24" s="53">
        <v>0.1</v>
      </c>
      <c r="AP24" s="55">
        <v>8.4</v>
      </c>
      <c r="AQ24" s="52"/>
      <c r="AR24" s="54">
        <v>0.28999999999999998</v>
      </c>
      <c r="AS24" s="56">
        <v>0.54</v>
      </c>
      <c r="AT24" s="56">
        <v>0.56000000000000005</v>
      </c>
      <c r="AU24" s="56">
        <v>0.14000000000000001</v>
      </c>
      <c r="AV24" s="56">
        <v>0.38</v>
      </c>
      <c r="AW24" s="55">
        <v>8.3000000000000004E-2</v>
      </c>
      <c r="AX24" s="53">
        <v>0.42</v>
      </c>
      <c r="AY24" s="53">
        <v>0.38</v>
      </c>
      <c r="AZ24" s="53" t="s">
        <v>232</v>
      </c>
      <c r="BA24" s="53" t="s">
        <v>232</v>
      </c>
      <c r="BB24" s="52">
        <v>0.5</v>
      </c>
    </row>
    <row r="25" spans="2:85" ht="20.149999999999999" customHeight="1" x14ac:dyDescent="0.2">
      <c r="B25" s="694" t="s">
        <v>97</v>
      </c>
      <c r="C25" s="695"/>
      <c r="D25" s="698"/>
      <c r="E25" s="528">
        <v>3.3000000000000002E-2</v>
      </c>
      <c r="F25" s="529">
        <v>3.7999999999999999E-2</v>
      </c>
      <c r="G25" s="529">
        <v>0.03</v>
      </c>
      <c r="H25" s="529">
        <v>9.1999999999999998E-2</v>
      </c>
      <c r="I25" s="529">
        <v>1.2999999999999999E-2</v>
      </c>
      <c r="J25" s="529">
        <v>2E-3</v>
      </c>
      <c r="K25" s="529">
        <v>1.6999999999999999E-3</v>
      </c>
      <c r="L25" s="530">
        <v>4.5999999999999999E-3</v>
      </c>
      <c r="M25" s="528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30"/>
      <c r="AR25" s="528"/>
      <c r="AS25" s="529"/>
      <c r="AT25" s="529"/>
      <c r="AU25" s="529"/>
      <c r="AV25" s="529"/>
      <c r="AW25" s="529"/>
      <c r="AX25" s="529"/>
      <c r="AY25" s="529"/>
      <c r="AZ25" s="529"/>
      <c r="BA25" s="529"/>
      <c r="BB25" s="530">
        <v>0.39</v>
      </c>
    </row>
    <row r="26" spans="2:85" ht="20.149999999999999" customHeight="1" x14ac:dyDescent="0.2">
      <c r="B26" s="694"/>
      <c r="C26" s="695"/>
      <c r="D26" s="695"/>
      <c r="E26" s="531">
        <v>0.11</v>
      </c>
      <c r="F26" s="532">
        <v>0.13</v>
      </c>
      <c r="G26" s="532">
        <v>0.1</v>
      </c>
      <c r="H26" s="532">
        <v>0.31</v>
      </c>
      <c r="I26" s="532">
        <v>4.3999999999999997E-2</v>
      </c>
      <c r="J26" s="532">
        <v>6.6E-3</v>
      </c>
      <c r="K26" s="532">
        <v>5.4999999999999997E-3</v>
      </c>
      <c r="L26" s="533">
        <v>1.4999999999999999E-2</v>
      </c>
      <c r="M26" s="531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3"/>
      <c r="AR26" s="531"/>
      <c r="AS26" s="532"/>
      <c r="AT26" s="532"/>
      <c r="AU26" s="532"/>
      <c r="AV26" s="532"/>
      <c r="AW26" s="532"/>
      <c r="AX26" s="532"/>
      <c r="AY26" s="532"/>
      <c r="AZ26" s="532"/>
      <c r="BA26" s="532"/>
      <c r="BB26" s="533">
        <v>1.3</v>
      </c>
    </row>
    <row r="27" spans="2:85" ht="20.149999999999999" customHeight="1" x14ac:dyDescent="0.2">
      <c r="B27" s="696"/>
      <c r="C27" s="697"/>
      <c r="D27" s="697"/>
      <c r="E27" s="534" t="s">
        <v>585</v>
      </c>
      <c r="F27" s="535"/>
      <c r="G27" s="535"/>
      <c r="H27" s="535"/>
      <c r="I27" s="535"/>
      <c r="J27" s="535"/>
      <c r="K27" s="535"/>
      <c r="L27" s="536"/>
      <c r="M27" s="534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6"/>
      <c r="AR27" s="534" t="s">
        <v>586</v>
      </c>
      <c r="AS27" s="535"/>
      <c r="AT27" s="535"/>
      <c r="AU27" s="535"/>
      <c r="AV27" s="535"/>
      <c r="AW27" s="535"/>
      <c r="AX27" s="535"/>
      <c r="AY27" s="535"/>
      <c r="AZ27" s="535"/>
      <c r="BA27" s="535"/>
      <c r="BB27" s="536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9">
    <mergeCell ref="O4:P4"/>
    <mergeCell ref="AT4:AU4"/>
    <mergeCell ref="B5:C6"/>
    <mergeCell ref="B23:C23"/>
    <mergeCell ref="B24:C24"/>
    <mergeCell ref="B25:C27"/>
    <mergeCell ref="D25:D27"/>
    <mergeCell ref="D2:F2"/>
    <mergeCell ref="G4:H4"/>
  </mergeCells>
  <phoneticPr fontId="2"/>
  <conditionalFormatting sqref="BP7:BP20">
    <cfRule type="cellIs" dxfId="95" priority="4" stopIfTrue="1" operator="notBetween">
      <formula>0.8</formula>
      <formula>1.2</formula>
    </cfRule>
  </conditionalFormatting>
  <conditionalFormatting sqref="CB7:CB20">
    <cfRule type="cellIs" dxfId="94" priority="3" stopIfTrue="1" operator="notBetween">
      <formula>0.8</formula>
      <formula>1.2</formula>
    </cfRule>
  </conditionalFormatting>
  <conditionalFormatting sqref="BC7:BD20">
    <cfRule type="cellIs" dxfId="93" priority="2" stopIfTrue="1" operator="notBetween">
      <formula>0.9</formula>
      <formula>1.1</formula>
    </cfRule>
  </conditionalFormatting>
  <conditionalFormatting sqref="CF7:CF20">
    <cfRule type="cellIs" dxfId="92" priority="1" stopIfTrue="1" operator="lessThan">
      <formula>0</formula>
    </cfRule>
  </conditionalFormatting>
  <dataValidations disablePrompts="1"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84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CH30"/>
  <sheetViews>
    <sheetView topLeftCell="BJ1" zoomScale="70" zoomScaleNormal="70" workbookViewId="0">
      <selection activeCell="CH10" sqref="CH1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5" width="10.453125" customWidth="1"/>
  </cols>
  <sheetData>
    <row r="1" spans="2:86" ht="30.75" customHeight="1" thickBot="1" x14ac:dyDescent="0.25">
      <c r="C1" s="1" t="s">
        <v>0</v>
      </c>
    </row>
    <row r="2" spans="2:86" ht="30.75" customHeight="1" thickBot="1" x14ac:dyDescent="0.25">
      <c r="C2" s="2" t="s">
        <v>1</v>
      </c>
      <c r="D2" s="699" t="s">
        <v>228</v>
      </c>
      <c r="E2" s="700"/>
      <c r="F2" s="701"/>
    </row>
    <row r="3" spans="2:86" ht="30.75" customHeight="1" x14ac:dyDescent="0.2">
      <c r="C3" s="3"/>
      <c r="D3" s="3"/>
      <c r="E3" s="4"/>
      <c r="F3" s="4"/>
      <c r="AR3" s="5" t="s">
        <v>2</v>
      </c>
    </row>
    <row r="4" spans="2:86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  <c r="AS4" s="8" t="s">
        <v>6</v>
      </c>
      <c r="AT4" s="9"/>
      <c r="AU4" s="702"/>
      <c r="AV4" s="702"/>
      <c r="AW4" s="9"/>
      <c r="AX4" s="9"/>
      <c r="AY4" s="9"/>
      <c r="AZ4" s="9"/>
      <c r="BA4" s="9"/>
      <c r="BB4" s="9"/>
      <c r="BC4" s="10"/>
    </row>
    <row r="5" spans="2:86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8" t="s">
        <v>229</v>
      </c>
      <c r="AR5" s="19" t="s">
        <v>215</v>
      </c>
      <c r="AS5" s="12" t="s">
        <v>180</v>
      </c>
      <c r="AT5" s="14" t="s">
        <v>181</v>
      </c>
      <c r="AU5" s="14" t="s">
        <v>182</v>
      </c>
      <c r="AV5" s="14" t="s">
        <v>183</v>
      </c>
      <c r="AW5" s="14" t="s">
        <v>184</v>
      </c>
      <c r="AX5" s="13" t="s">
        <v>185</v>
      </c>
      <c r="AY5" s="11" t="s">
        <v>186</v>
      </c>
      <c r="AZ5" s="11" t="s">
        <v>187</v>
      </c>
      <c r="BA5" s="11" t="s">
        <v>188</v>
      </c>
      <c r="BB5" s="11" t="s">
        <v>189</v>
      </c>
      <c r="BC5" s="15" t="s">
        <v>190</v>
      </c>
      <c r="BG5" t="s">
        <v>625</v>
      </c>
      <c r="BO5" t="s">
        <v>627</v>
      </c>
      <c r="BP5" t="s">
        <v>627</v>
      </c>
      <c r="BS5" t="s">
        <v>624</v>
      </c>
    </row>
    <row r="6" spans="2:86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2" t="s">
        <v>192</v>
      </c>
      <c r="AR6" s="22" t="s">
        <v>192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1" t="s">
        <v>191</v>
      </c>
      <c r="BC6" s="24" t="s">
        <v>191</v>
      </c>
      <c r="BD6" s="613" t="s">
        <v>56</v>
      </c>
      <c r="BE6" s="614" t="s">
        <v>608</v>
      </c>
      <c r="BF6" s="614"/>
      <c r="BG6" s="614" t="s">
        <v>609</v>
      </c>
      <c r="BH6" s="614" t="s">
        <v>610</v>
      </c>
      <c r="BI6" s="614" t="s">
        <v>611</v>
      </c>
      <c r="BJ6" s="614" t="s">
        <v>612</v>
      </c>
      <c r="BK6" s="614" t="s">
        <v>613</v>
      </c>
      <c r="BL6" s="614" t="s">
        <v>614</v>
      </c>
      <c r="BM6" s="614" t="s">
        <v>615</v>
      </c>
      <c r="BN6" s="614" t="s">
        <v>616</v>
      </c>
      <c r="BO6" s="614" t="s">
        <v>151</v>
      </c>
      <c r="BP6" s="614" t="s">
        <v>617</v>
      </c>
      <c r="BQ6" s="614" t="s">
        <v>626</v>
      </c>
      <c r="BR6" s="614"/>
      <c r="BS6" s="614" t="s">
        <v>611</v>
      </c>
      <c r="BT6" s="614" t="s">
        <v>610</v>
      </c>
      <c r="BU6" s="614" t="s">
        <v>612</v>
      </c>
      <c r="BV6" s="614" t="s">
        <v>56</v>
      </c>
      <c r="BW6" s="614" t="s">
        <v>57</v>
      </c>
      <c r="BX6" s="614" t="s">
        <v>618</v>
      </c>
      <c r="BY6" s="614" t="s">
        <v>619</v>
      </c>
      <c r="BZ6" s="614" t="s">
        <v>620</v>
      </c>
      <c r="CA6" s="614" t="s">
        <v>621</v>
      </c>
      <c r="CB6" s="614" t="s">
        <v>622</v>
      </c>
      <c r="CC6" s="614" t="s">
        <v>623</v>
      </c>
      <c r="CD6" s="568"/>
      <c r="CE6" s="690" t="s">
        <v>663</v>
      </c>
      <c r="CF6" s="690" t="s">
        <v>665</v>
      </c>
      <c r="CG6" s="690" t="s">
        <v>667</v>
      </c>
      <c r="CH6" s="690" t="s">
        <v>669</v>
      </c>
    </row>
    <row r="7" spans="2:86" ht="20.149999999999999" customHeight="1" x14ac:dyDescent="0.2">
      <c r="B7" s="16" t="s">
        <v>61</v>
      </c>
      <c r="C7" s="26" t="s">
        <v>193</v>
      </c>
      <c r="D7" s="27">
        <v>5.3</v>
      </c>
      <c r="E7" s="28" t="s">
        <v>230</v>
      </c>
      <c r="F7" s="29">
        <v>9.8000000000000004E-2</v>
      </c>
      <c r="G7" s="29">
        <v>1.6</v>
      </c>
      <c r="H7" s="30">
        <v>0.11</v>
      </c>
      <c r="I7" s="253">
        <v>0.5</v>
      </c>
      <c r="J7" s="29">
        <v>2.4E-2</v>
      </c>
      <c r="K7" s="254">
        <v>8.9999999999999993E-3</v>
      </c>
      <c r="L7" s="26" t="s">
        <v>223</v>
      </c>
      <c r="M7" s="255">
        <v>14</v>
      </c>
      <c r="N7" s="256" t="s">
        <v>231</v>
      </c>
      <c r="O7" s="256" t="s">
        <v>232</v>
      </c>
      <c r="P7" s="256">
        <v>12</v>
      </c>
      <c r="Q7" s="256" t="s">
        <v>233</v>
      </c>
      <c r="R7" s="256" t="s">
        <v>234</v>
      </c>
      <c r="S7" s="256" t="s">
        <v>235</v>
      </c>
      <c r="T7" s="257">
        <v>0.5</v>
      </c>
      <c r="U7" s="256" t="s">
        <v>236</v>
      </c>
      <c r="V7" s="256">
        <v>0.93</v>
      </c>
      <c r="W7" s="256" t="s">
        <v>237</v>
      </c>
      <c r="X7" s="256" t="s">
        <v>238</v>
      </c>
      <c r="Y7" s="256" t="s">
        <v>239</v>
      </c>
      <c r="Z7" s="256" t="s">
        <v>240</v>
      </c>
      <c r="AA7" s="256">
        <v>2.9</v>
      </c>
      <c r="AB7" s="256">
        <v>0.19</v>
      </c>
      <c r="AC7" s="256" t="s">
        <v>241</v>
      </c>
      <c r="AD7" s="256" t="s">
        <v>198</v>
      </c>
      <c r="AE7" s="256" t="s">
        <v>242</v>
      </c>
      <c r="AF7" s="256">
        <v>0.17</v>
      </c>
      <c r="AG7" s="256" t="s">
        <v>234</v>
      </c>
      <c r="AH7" s="256">
        <v>0.41</v>
      </c>
      <c r="AI7" s="256" t="s">
        <v>238</v>
      </c>
      <c r="AJ7" s="256" t="s">
        <v>243</v>
      </c>
      <c r="AK7" s="256" t="s">
        <v>66</v>
      </c>
      <c r="AL7" s="258" t="s">
        <v>241</v>
      </c>
      <c r="AM7" s="258" t="s">
        <v>66</v>
      </c>
      <c r="AN7" s="258" t="s">
        <v>244</v>
      </c>
      <c r="AO7" s="258" t="s">
        <v>220</v>
      </c>
      <c r="AP7" s="256">
        <v>0.48</v>
      </c>
      <c r="AQ7" s="258" t="s">
        <v>245</v>
      </c>
      <c r="AR7" s="259" t="s">
        <v>246</v>
      </c>
      <c r="AS7" s="255" t="s">
        <v>247</v>
      </c>
      <c r="AT7" s="260">
        <v>0.47</v>
      </c>
      <c r="AU7" s="261">
        <v>0.3</v>
      </c>
      <c r="AV7" s="260">
        <v>0.17</v>
      </c>
      <c r="AW7" s="260">
        <v>0.62</v>
      </c>
      <c r="AX7" s="256">
        <v>0.55000000000000004</v>
      </c>
      <c r="AY7" s="258">
        <v>0.55000000000000004</v>
      </c>
      <c r="AZ7" s="262">
        <v>0.03</v>
      </c>
      <c r="BA7" s="258">
        <v>1.6</v>
      </c>
      <c r="BB7" s="258">
        <v>0.51</v>
      </c>
      <c r="BC7" s="286">
        <v>1.7</v>
      </c>
      <c r="BD7" s="619">
        <f>SUM(AS7:AW7)/BA7</f>
        <v>0.97499999999999998</v>
      </c>
      <c r="BE7" s="610">
        <f>(SUM(AX7:AZ7)-AW7)/BB7</f>
        <v>1.0000000000000002</v>
      </c>
      <c r="BG7" s="610" t="e">
        <f t="shared" ref="BG7:BG12" si="0">E7/35.5</f>
        <v>#VALUE!</v>
      </c>
      <c r="BH7" s="610">
        <f t="shared" ref="BH7:BH12" si="1">F7/62</f>
        <v>1.5806451612903226E-3</v>
      </c>
      <c r="BI7" s="610">
        <f t="shared" ref="BI7:BI12" si="2">G7/(96/2)</f>
        <v>3.3333333333333333E-2</v>
      </c>
      <c r="BJ7" s="610">
        <f t="shared" ref="BJ7:BJ12" si="3">H7/23</f>
        <v>4.7826086956521737E-3</v>
      </c>
      <c r="BK7" s="610">
        <f t="shared" ref="BK7:BK12" si="4">I7/18</f>
        <v>2.7777777777777776E-2</v>
      </c>
      <c r="BL7" s="610">
        <f t="shared" ref="BL7:BL12" si="5">J7/39</f>
        <v>6.1538461538461541E-4</v>
      </c>
      <c r="BM7" s="610">
        <f t="shared" ref="BM7:BM12" si="6">K7/(24.3/2)</f>
        <v>7.407407407407407E-4</v>
      </c>
      <c r="BN7" s="610" t="e">
        <f t="shared" ref="BN7:BN12" si="7">L7/(40/2)</f>
        <v>#VALUE!</v>
      </c>
      <c r="BO7" s="563" t="e">
        <f>SUM(BG7:BI7)*1000</f>
        <v>#VALUE!</v>
      </c>
      <c r="BP7" s="563" t="e">
        <f>SUM(BJ7:BN7)*1000</f>
        <v>#VALUE!</v>
      </c>
      <c r="BQ7" s="611" t="e">
        <f>BO7/BP7</f>
        <v>#VALUE!</v>
      </c>
      <c r="BS7" s="564">
        <f t="shared" ref="BS7:BS12" si="8">1.375*G7</f>
        <v>2.2000000000000002</v>
      </c>
      <c r="BT7" s="564">
        <f t="shared" ref="BT7:BT12" si="9">1.29*F7</f>
        <v>0.12642</v>
      </c>
      <c r="BU7" s="564">
        <f t="shared" ref="BU7:BU12" si="10">2.5*H7</f>
        <v>0.27500000000000002</v>
      </c>
      <c r="BV7" s="564">
        <f t="shared" ref="BV7:BV12" si="11">1.6*BA7</f>
        <v>2.5600000000000005</v>
      </c>
      <c r="BW7" s="564">
        <f t="shared" ref="BW7:BW12" si="12">BB7</f>
        <v>0.51</v>
      </c>
      <c r="BX7" s="564" t="e">
        <f t="shared" ref="BX7:BX12" si="13">9.19/1000*N7</f>
        <v>#VALUE!</v>
      </c>
      <c r="BY7" s="564" t="e">
        <f t="shared" ref="BY7:BY12" si="14">Q7/1000*1.4</f>
        <v>#VALUE!</v>
      </c>
      <c r="BZ7" s="564" t="e">
        <f t="shared" ref="BZ7:BZ12" si="15">W7/1000*1.38</f>
        <v>#VALUE!</v>
      </c>
      <c r="CA7" s="564" t="e">
        <f t="shared" ref="CA7:CA12" si="16">S7/1000*1.67</f>
        <v>#VALUE!</v>
      </c>
      <c r="CB7" s="564" t="e">
        <f>SUM(BS7:CA7)</f>
        <v>#VALUE!</v>
      </c>
      <c r="CC7" s="611" t="e">
        <f t="shared" ref="CC7:CC12" si="17">CB7/D7</f>
        <v>#VALUE!</v>
      </c>
      <c r="CE7" s="610">
        <f>BA7/(BA7+BB7)</f>
        <v>0.75829383886255919</v>
      </c>
      <c r="CF7" s="610">
        <f>BC7/BA7</f>
        <v>1.0625</v>
      </c>
      <c r="CG7" s="610">
        <f t="shared" ref="CG7:CG12" si="18">IF(AX7-AW7&gt;0,AX7-AW7,0)</f>
        <v>0</v>
      </c>
      <c r="CH7" s="610">
        <f t="shared" ref="CH7:CH12" si="19">IF(AX7-AW7&gt;0,AY7+AZ7,AX7+AY7+AZ7-AW7)</f>
        <v>0.51000000000000012</v>
      </c>
    </row>
    <row r="8" spans="2:86" ht="20.149999999999999" customHeight="1" x14ac:dyDescent="0.2">
      <c r="B8" s="31" t="s">
        <v>61</v>
      </c>
      <c r="C8" s="32" t="s">
        <v>199</v>
      </c>
      <c r="D8" s="33">
        <v>8.6</v>
      </c>
      <c r="E8" s="34" t="s">
        <v>230</v>
      </c>
      <c r="F8" s="35">
        <v>8.5999999999999993E-2</v>
      </c>
      <c r="G8" s="35">
        <v>1.6</v>
      </c>
      <c r="H8" s="36">
        <v>3.3000000000000002E-2</v>
      </c>
      <c r="I8" s="35">
        <v>0.57999999999999996</v>
      </c>
      <c r="J8" s="35">
        <v>2.8000000000000001E-2</v>
      </c>
      <c r="K8" s="35" t="s">
        <v>248</v>
      </c>
      <c r="L8" s="32" t="s">
        <v>223</v>
      </c>
      <c r="M8" s="263">
        <v>21</v>
      </c>
      <c r="N8" s="264">
        <v>38</v>
      </c>
      <c r="O8" s="264" t="s">
        <v>232</v>
      </c>
      <c r="P8" s="264">
        <v>110</v>
      </c>
      <c r="Q8" s="264">
        <v>16</v>
      </c>
      <c r="R8" s="264" t="s">
        <v>249</v>
      </c>
      <c r="S8" s="264">
        <v>2.6</v>
      </c>
      <c r="T8" s="264">
        <v>0.41</v>
      </c>
      <c r="U8" s="264" t="s">
        <v>236</v>
      </c>
      <c r="V8" s="264">
        <v>2.1</v>
      </c>
      <c r="W8" s="264" t="s">
        <v>237</v>
      </c>
      <c r="X8" s="264" t="s">
        <v>238</v>
      </c>
      <c r="Y8" s="264" t="s">
        <v>239</v>
      </c>
      <c r="Z8" s="264">
        <v>2.6</v>
      </c>
      <c r="AA8" s="264">
        <v>24</v>
      </c>
      <c r="AB8" s="264">
        <v>0.27</v>
      </c>
      <c r="AC8" s="264" t="s">
        <v>241</v>
      </c>
      <c r="AD8" s="264">
        <v>8.2000000000000003E-2</v>
      </c>
      <c r="AE8" s="264">
        <v>0.26</v>
      </c>
      <c r="AF8" s="264">
        <v>0.56999999999999995</v>
      </c>
      <c r="AG8" s="264" t="s">
        <v>219</v>
      </c>
      <c r="AH8" s="264">
        <v>2.5</v>
      </c>
      <c r="AI8" s="264" t="s">
        <v>238</v>
      </c>
      <c r="AJ8" s="264" t="s">
        <v>243</v>
      </c>
      <c r="AK8" s="264" t="s">
        <v>66</v>
      </c>
      <c r="AL8" s="265" t="s">
        <v>241</v>
      </c>
      <c r="AM8" s="265" t="s">
        <v>66</v>
      </c>
      <c r="AN8" s="265" t="s">
        <v>244</v>
      </c>
      <c r="AO8" s="265" t="s">
        <v>220</v>
      </c>
      <c r="AP8" s="264">
        <v>3.4</v>
      </c>
      <c r="AQ8" s="265" t="s">
        <v>245</v>
      </c>
      <c r="AR8" s="266">
        <v>0.16</v>
      </c>
      <c r="AS8" s="263" t="s">
        <v>247</v>
      </c>
      <c r="AT8" s="267">
        <v>0.67</v>
      </c>
      <c r="AU8" s="267">
        <v>0.67</v>
      </c>
      <c r="AV8" s="267">
        <v>0.37</v>
      </c>
      <c r="AW8" s="268">
        <v>1</v>
      </c>
      <c r="AX8" s="264">
        <v>0.99</v>
      </c>
      <c r="AY8" s="265">
        <v>0.86</v>
      </c>
      <c r="AZ8" s="265">
        <v>6.0999999999999999E-2</v>
      </c>
      <c r="BA8" s="265">
        <v>2.7</v>
      </c>
      <c r="BB8" s="265">
        <v>0.91</v>
      </c>
      <c r="BC8" s="266">
        <v>2.1</v>
      </c>
      <c r="BD8" s="619">
        <f t="shared" ref="BD8:BD20" si="20">SUM(AS8:AW8)/BA8</f>
        <v>1.0037037037037035</v>
      </c>
      <c r="BE8" s="610">
        <f t="shared" ref="BE8:BE20" si="21">(SUM(AX8:AZ8)-AW8)/BB8</f>
        <v>1.0010989010989011</v>
      </c>
      <c r="BG8" s="610" t="e">
        <f t="shared" si="0"/>
        <v>#VALUE!</v>
      </c>
      <c r="BH8" s="610">
        <f t="shared" si="1"/>
        <v>1.3870967741935482E-3</v>
      </c>
      <c r="BI8" s="610">
        <f t="shared" si="2"/>
        <v>3.3333333333333333E-2</v>
      </c>
      <c r="BJ8" s="610">
        <f t="shared" si="3"/>
        <v>1.4347826086956522E-3</v>
      </c>
      <c r="BK8" s="610">
        <f t="shared" si="4"/>
        <v>3.2222222222222222E-2</v>
      </c>
      <c r="BL8" s="610">
        <f t="shared" si="5"/>
        <v>7.1794871794871799E-4</v>
      </c>
      <c r="BM8" s="610" t="e">
        <f t="shared" si="6"/>
        <v>#VALUE!</v>
      </c>
      <c r="BN8" s="610" t="e">
        <f t="shared" si="7"/>
        <v>#VALUE!</v>
      </c>
      <c r="BO8" s="563" t="e">
        <f t="shared" ref="BO8:BO20" si="22">SUM(BG8:BI8)*1000</f>
        <v>#VALUE!</v>
      </c>
      <c r="BP8" s="563" t="e">
        <f t="shared" ref="BP8:BP20" si="23">SUM(BJ8:BN8)*1000</f>
        <v>#VALUE!</v>
      </c>
      <c r="BQ8" s="611" t="e">
        <f t="shared" ref="BQ8:BQ20" si="24">BO8/BP8</f>
        <v>#VALUE!</v>
      </c>
      <c r="BS8" s="564">
        <f t="shared" si="8"/>
        <v>2.2000000000000002</v>
      </c>
      <c r="BT8" s="564">
        <f t="shared" si="9"/>
        <v>0.11094</v>
      </c>
      <c r="BU8" s="564">
        <f t="shared" si="10"/>
        <v>8.2500000000000004E-2</v>
      </c>
      <c r="BV8" s="564">
        <f t="shared" si="11"/>
        <v>4.32</v>
      </c>
      <c r="BW8" s="564">
        <f t="shared" si="12"/>
        <v>0.91</v>
      </c>
      <c r="BX8" s="564">
        <f t="shared" si="13"/>
        <v>0.34922000000000003</v>
      </c>
      <c r="BY8" s="564">
        <f t="shared" si="14"/>
        <v>2.24E-2</v>
      </c>
      <c r="BZ8" s="564" t="e">
        <f t="shared" si="15"/>
        <v>#VALUE!</v>
      </c>
      <c r="CA8" s="564">
        <f t="shared" si="16"/>
        <v>4.3419999999999995E-3</v>
      </c>
      <c r="CB8" s="564" t="e">
        <f t="shared" ref="CB8:CB20" si="25">SUM(BS8:CA8)</f>
        <v>#VALUE!</v>
      </c>
      <c r="CC8" s="611" t="e">
        <f t="shared" si="17"/>
        <v>#VALUE!</v>
      </c>
      <c r="CE8" s="610">
        <f t="shared" ref="CE8:CE20" si="26">BA8/(BA8+BB8)</f>
        <v>0.74792243767313016</v>
      </c>
      <c r="CF8" s="610">
        <f t="shared" ref="CF8:CF20" si="27">BC8/BA8</f>
        <v>0.77777777777777779</v>
      </c>
      <c r="CG8" s="610">
        <f t="shared" si="18"/>
        <v>0</v>
      </c>
      <c r="CH8" s="610">
        <f t="shared" si="19"/>
        <v>0.91100000000000003</v>
      </c>
    </row>
    <row r="9" spans="2:86" ht="20.149999999999999" customHeight="1" x14ac:dyDescent="0.2">
      <c r="B9" s="31" t="s">
        <v>61</v>
      </c>
      <c r="C9" s="37" t="s">
        <v>200</v>
      </c>
      <c r="D9" s="33">
        <v>8.4</v>
      </c>
      <c r="E9" s="34" t="s">
        <v>230</v>
      </c>
      <c r="F9" s="35">
        <v>7.2999999999999995E-2</v>
      </c>
      <c r="G9" s="35">
        <v>1.8</v>
      </c>
      <c r="H9" s="36" t="s">
        <v>250</v>
      </c>
      <c r="I9" s="35">
        <v>0.64</v>
      </c>
      <c r="J9" s="35">
        <v>7.6999999999999999E-2</v>
      </c>
      <c r="K9" s="35" t="s">
        <v>248</v>
      </c>
      <c r="L9" s="32" t="s">
        <v>223</v>
      </c>
      <c r="M9" s="263">
        <v>130</v>
      </c>
      <c r="N9" s="264">
        <v>29</v>
      </c>
      <c r="O9" s="264" t="s">
        <v>232</v>
      </c>
      <c r="P9" s="264">
        <v>35</v>
      </c>
      <c r="Q9" s="264">
        <v>35</v>
      </c>
      <c r="R9" s="264">
        <v>0.21</v>
      </c>
      <c r="S9" s="264">
        <v>2.6</v>
      </c>
      <c r="T9" s="264">
        <v>1.9</v>
      </c>
      <c r="U9" s="264">
        <v>0.63</v>
      </c>
      <c r="V9" s="264">
        <v>2.7</v>
      </c>
      <c r="W9" s="264">
        <v>45</v>
      </c>
      <c r="X9" s="264" t="s">
        <v>238</v>
      </c>
      <c r="Y9" s="264" t="s">
        <v>239</v>
      </c>
      <c r="Z9" s="264">
        <v>2.1</v>
      </c>
      <c r="AA9" s="264">
        <v>12</v>
      </c>
      <c r="AB9" s="264" t="s">
        <v>251</v>
      </c>
      <c r="AC9" s="264" t="s">
        <v>241</v>
      </c>
      <c r="AD9" s="264" t="s">
        <v>198</v>
      </c>
      <c r="AE9" s="264">
        <v>1.1000000000000001</v>
      </c>
      <c r="AF9" s="264">
        <v>0.44</v>
      </c>
      <c r="AG9" s="264" t="s">
        <v>219</v>
      </c>
      <c r="AH9" s="264">
        <v>2.1</v>
      </c>
      <c r="AI9" s="264" t="s">
        <v>238</v>
      </c>
      <c r="AJ9" s="264">
        <v>0.33</v>
      </c>
      <c r="AK9" s="264" t="s">
        <v>66</v>
      </c>
      <c r="AL9" s="265" t="s">
        <v>241</v>
      </c>
      <c r="AM9" s="265" t="s">
        <v>66</v>
      </c>
      <c r="AN9" s="265">
        <v>0.98</v>
      </c>
      <c r="AO9" s="265" t="s">
        <v>220</v>
      </c>
      <c r="AP9" s="264">
        <v>2.5</v>
      </c>
      <c r="AQ9" s="265" t="s">
        <v>245</v>
      </c>
      <c r="AR9" s="266" t="s">
        <v>246</v>
      </c>
      <c r="AS9" s="263" t="s">
        <v>247</v>
      </c>
      <c r="AT9" s="267">
        <v>0.65</v>
      </c>
      <c r="AU9" s="267">
        <v>0.71</v>
      </c>
      <c r="AV9" s="267">
        <v>0.32</v>
      </c>
      <c r="AW9" s="267">
        <v>1.9</v>
      </c>
      <c r="AX9" s="269">
        <v>1</v>
      </c>
      <c r="AY9" s="265">
        <v>0.77</v>
      </c>
      <c r="AZ9" s="265">
        <v>5.7000000000000002E-2</v>
      </c>
      <c r="BA9" s="265">
        <v>3.6</v>
      </c>
      <c r="BB9" s="270">
        <v>9.1000000000000003E-5</v>
      </c>
      <c r="BC9" s="266">
        <v>2.4</v>
      </c>
      <c r="BD9" s="619">
        <f t="shared" si="20"/>
        <v>0.99444444444444446</v>
      </c>
      <c r="BE9" s="610">
        <f t="shared" si="21"/>
        <v>-802.19780219780171</v>
      </c>
      <c r="BG9" s="610" t="e">
        <f t="shared" si="0"/>
        <v>#VALUE!</v>
      </c>
      <c r="BH9" s="610">
        <f t="shared" si="1"/>
        <v>1.1774193548387097E-3</v>
      </c>
      <c r="BI9" s="610">
        <f t="shared" si="2"/>
        <v>3.7499999999999999E-2</v>
      </c>
      <c r="BJ9" s="610" t="e">
        <f t="shared" si="3"/>
        <v>#VALUE!</v>
      </c>
      <c r="BK9" s="610">
        <f t="shared" si="4"/>
        <v>3.5555555555555556E-2</v>
      </c>
      <c r="BL9" s="610">
        <f t="shared" si="5"/>
        <v>1.9743589743589744E-3</v>
      </c>
      <c r="BM9" s="610" t="e">
        <f t="shared" si="6"/>
        <v>#VALUE!</v>
      </c>
      <c r="BN9" s="610" t="e">
        <f t="shared" si="7"/>
        <v>#VALUE!</v>
      </c>
      <c r="BO9" s="563" t="e">
        <f t="shared" si="22"/>
        <v>#VALUE!</v>
      </c>
      <c r="BP9" s="563" t="e">
        <f t="shared" si="23"/>
        <v>#VALUE!</v>
      </c>
      <c r="BQ9" s="611" t="e">
        <f t="shared" si="24"/>
        <v>#VALUE!</v>
      </c>
      <c r="BS9" s="564">
        <f t="shared" si="8"/>
        <v>2.4750000000000001</v>
      </c>
      <c r="BT9" s="564">
        <f t="shared" si="9"/>
        <v>9.416999999999999E-2</v>
      </c>
      <c r="BU9" s="564" t="e">
        <f t="shared" si="10"/>
        <v>#VALUE!</v>
      </c>
      <c r="BV9" s="564">
        <f t="shared" si="11"/>
        <v>5.7600000000000007</v>
      </c>
      <c r="BW9" s="564">
        <f t="shared" si="12"/>
        <v>9.1000000000000003E-5</v>
      </c>
      <c r="BX9" s="564">
        <f t="shared" si="13"/>
        <v>0.26651000000000002</v>
      </c>
      <c r="BY9" s="564">
        <f t="shared" si="14"/>
        <v>4.9000000000000002E-2</v>
      </c>
      <c r="BZ9" s="564">
        <f t="shared" si="15"/>
        <v>6.2099999999999995E-2</v>
      </c>
      <c r="CA9" s="564">
        <f t="shared" si="16"/>
        <v>4.3419999999999995E-3</v>
      </c>
      <c r="CB9" s="564" t="e">
        <f t="shared" si="25"/>
        <v>#VALUE!</v>
      </c>
      <c r="CC9" s="611" t="e">
        <f t="shared" si="17"/>
        <v>#VALUE!</v>
      </c>
      <c r="CE9" s="610">
        <f t="shared" si="26"/>
        <v>0.99997472286117217</v>
      </c>
      <c r="CF9" s="610">
        <f t="shared" si="27"/>
        <v>0.66666666666666663</v>
      </c>
      <c r="CG9" s="610">
        <f t="shared" si="18"/>
        <v>0</v>
      </c>
      <c r="CH9" s="610">
        <f t="shared" si="19"/>
        <v>-7.2999999999999954E-2</v>
      </c>
    </row>
    <row r="10" spans="2:86" ht="20.149999999999999" customHeight="1" x14ac:dyDescent="0.2">
      <c r="B10" s="31" t="s">
        <v>61</v>
      </c>
      <c r="C10" s="32" t="s">
        <v>82</v>
      </c>
      <c r="D10" s="33">
        <v>23.7</v>
      </c>
      <c r="E10" s="34" t="s">
        <v>230</v>
      </c>
      <c r="F10" s="35">
        <v>0.12</v>
      </c>
      <c r="G10" s="35">
        <v>6.2</v>
      </c>
      <c r="H10" s="36">
        <v>6.9000000000000006E-2</v>
      </c>
      <c r="I10" s="35">
        <v>2.4</v>
      </c>
      <c r="J10" s="35">
        <v>0.16</v>
      </c>
      <c r="K10" s="35">
        <v>1.2E-2</v>
      </c>
      <c r="L10" s="32" t="s">
        <v>223</v>
      </c>
      <c r="M10" s="263">
        <v>62</v>
      </c>
      <c r="N10" s="264">
        <v>25</v>
      </c>
      <c r="O10" s="264" t="s">
        <v>232</v>
      </c>
      <c r="P10" s="264">
        <v>170</v>
      </c>
      <c r="Q10" s="264">
        <v>19</v>
      </c>
      <c r="R10" s="264" t="s">
        <v>249</v>
      </c>
      <c r="S10" s="264" t="s">
        <v>235</v>
      </c>
      <c r="T10" s="264">
        <v>2.7</v>
      </c>
      <c r="U10" s="264">
        <v>0.77</v>
      </c>
      <c r="V10" s="264">
        <v>4.7</v>
      </c>
      <c r="W10" s="264">
        <v>63</v>
      </c>
      <c r="X10" s="264" t="s">
        <v>238</v>
      </c>
      <c r="Y10" s="264" t="s">
        <v>239</v>
      </c>
      <c r="Z10" s="264">
        <v>3.8</v>
      </c>
      <c r="AA10" s="264">
        <v>36</v>
      </c>
      <c r="AB10" s="264">
        <v>0.52</v>
      </c>
      <c r="AC10" s="264">
        <v>1.1000000000000001</v>
      </c>
      <c r="AD10" s="264">
        <v>0.25</v>
      </c>
      <c r="AE10" s="264">
        <v>0.6</v>
      </c>
      <c r="AF10" s="264">
        <v>1.1000000000000001</v>
      </c>
      <c r="AG10" s="264" t="s">
        <v>219</v>
      </c>
      <c r="AH10" s="264">
        <v>7.5</v>
      </c>
      <c r="AI10" s="264" t="s">
        <v>238</v>
      </c>
      <c r="AJ10" s="264" t="s">
        <v>243</v>
      </c>
      <c r="AK10" s="264" t="s">
        <v>66</v>
      </c>
      <c r="AL10" s="265" t="s">
        <v>241</v>
      </c>
      <c r="AM10" s="265">
        <v>0.18</v>
      </c>
      <c r="AN10" s="265" t="s">
        <v>244</v>
      </c>
      <c r="AO10" s="265" t="s">
        <v>220</v>
      </c>
      <c r="AP10" s="264">
        <v>6.5</v>
      </c>
      <c r="AQ10" s="265" t="s">
        <v>245</v>
      </c>
      <c r="AR10" s="266">
        <v>0.17</v>
      </c>
      <c r="AS10" s="263" t="s">
        <v>247</v>
      </c>
      <c r="AT10" s="267">
        <v>1.5</v>
      </c>
      <c r="AU10" s="267">
        <v>1.2</v>
      </c>
      <c r="AV10" s="271">
        <v>0.6</v>
      </c>
      <c r="AW10" s="267">
        <v>2.7</v>
      </c>
      <c r="AX10" s="264">
        <v>3.4</v>
      </c>
      <c r="AY10" s="265">
        <v>1.3</v>
      </c>
      <c r="AZ10" s="265">
        <v>5.0999999999999997E-2</v>
      </c>
      <c r="BA10" s="272">
        <v>6</v>
      </c>
      <c r="BB10" s="265">
        <v>2.1</v>
      </c>
      <c r="BC10" s="266">
        <v>5.3</v>
      </c>
      <c r="BD10" s="619">
        <f t="shared" si="20"/>
        <v>1</v>
      </c>
      <c r="BE10" s="610">
        <f t="shared" si="21"/>
        <v>0.97666666666666668</v>
      </c>
      <c r="BG10" s="610" t="e">
        <f t="shared" si="0"/>
        <v>#VALUE!</v>
      </c>
      <c r="BH10" s="610">
        <f t="shared" si="1"/>
        <v>1.9354838709677419E-3</v>
      </c>
      <c r="BI10" s="610">
        <f t="shared" si="2"/>
        <v>0.12916666666666668</v>
      </c>
      <c r="BJ10" s="610">
        <f t="shared" si="3"/>
        <v>3.0000000000000001E-3</v>
      </c>
      <c r="BK10" s="610">
        <f t="shared" si="4"/>
        <v>0.13333333333333333</v>
      </c>
      <c r="BL10" s="610">
        <f t="shared" si="5"/>
        <v>4.1025641025641026E-3</v>
      </c>
      <c r="BM10" s="610">
        <f t="shared" si="6"/>
        <v>9.8765432098765434E-4</v>
      </c>
      <c r="BN10" s="610" t="e">
        <f t="shared" si="7"/>
        <v>#VALUE!</v>
      </c>
      <c r="BO10" s="563" t="e">
        <f t="shared" si="22"/>
        <v>#VALUE!</v>
      </c>
      <c r="BP10" s="563" t="e">
        <f t="shared" si="23"/>
        <v>#VALUE!</v>
      </c>
      <c r="BQ10" s="611" t="e">
        <f t="shared" si="24"/>
        <v>#VALUE!</v>
      </c>
      <c r="BS10" s="564">
        <f t="shared" si="8"/>
        <v>8.5250000000000004</v>
      </c>
      <c r="BT10" s="564">
        <f t="shared" si="9"/>
        <v>0.15479999999999999</v>
      </c>
      <c r="BU10" s="564">
        <f t="shared" si="10"/>
        <v>0.17250000000000001</v>
      </c>
      <c r="BV10" s="564">
        <f t="shared" si="11"/>
        <v>9.6000000000000014</v>
      </c>
      <c r="BW10" s="564">
        <f t="shared" si="12"/>
        <v>2.1</v>
      </c>
      <c r="BX10" s="564">
        <f t="shared" si="13"/>
        <v>0.22975000000000001</v>
      </c>
      <c r="BY10" s="564">
        <f t="shared" si="14"/>
        <v>2.6599999999999999E-2</v>
      </c>
      <c r="BZ10" s="564">
        <f t="shared" si="15"/>
        <v>8.693999999999999E-2</v>
      </c>
      <c r="CA10" s="564" t="e">
        <f t="shared" si="16"/>
        <v>#VALUE!</v>
      </c>
      <c r="CB10" s="564" t="e">
        <f t="shared" si="25"/>
        <v>#VALUE!</v>
      </c>
      <c r="CC10" s="611" t="e">
        <f t="shared" si="17"/>
        <v>#VALUE!</v>
      </c>
      <c r="CE10" s="610">
        <f t="shared" si="26"/>
        <v>0.74074074074074081</v>
      </c>
      <c r="CF10" s="610">
        <f t="shared" si="27"/>
        <v>0.8833333333333333</v>
      </c>
      <c r="CG10" s="610">
        <f t="shared" si="18"/>
        <v>0.69999999999999973</v>
      </c>
      <c r="CH10" s="610">
        <f t="shared" si="19"/>
        <v>1.351</v>
      </c>
    </row>
    <row r="11" spans="2:86" ht="20.149999999999999" customHeight="1" thickBot="1" x14ac:dyDescent="0.25">
      <c r="B11" s="39" t="s">
        <v>61</v>
      </c>
      <c r="C11" s="40" t="s">
        <v>201</v>
      </c>
      <c r="D11" s="41">
        <v>20.9</v>
      </c>
      <c r="E11" s="42" t="s">
        <v>230</v>
      </c>
      <c r="F11" s="43">
        <v>9.1999999999999998E-2</v>
      </c>
      <c r="G11" s="43">
        <v>6.1</v>
      </c>
      <c r="H11" s="44">
        <v>9.4E-2</v>
      </c>
      <c r="I11" s="43">
        <v>2.2999999999999998</v>
      </c>
      <c r="J11" s="43">
        <v>8.5000000000000006E-2</v>
      </c>
      <c r="K11" s="43">
        <v>1.0999999999999999E-2</v>
      </c>
      <c r="L11" s="45" t="s">
        <v>223</v>
      </c>
      <c r="M11" s="273">
        <v>110</v>
      </c>
      <c r="N11" s="274">
        <v>28</v>
      </c>
      <c r="O11" s="274" t="s">
        <v>232</v>
      </c>
      <c r="P11" s="274">
        <v>100</v>
      </c>
      <c r="Q11" s="274">
        <v>21</v>
      </c>
      <c r="R11" s="274">
        <v>1.3</v>
      </c>
      <c r="S11" s="274">
        <v>1.9</v>
      </c>
      <c r="T11" s="274">
        <v>3.4</v>
      </c>
      <c r="U11" s="274">
        <v>0.76</v>
      </c>
      <c r="V11" s="274">
        <v>2.5</v>
      </c>
      <c r="W11" s="274">
        <v>51</v>
      </c>
      <c r="X11" s="274" t="s">
        <v>238</v>
      </c>
      <c r="Y11" s="274" t="s">
        <v>239</v>
      </c>
      <c r="Z11" s="274">
        <v>2.2000000000000002</v>
      </c>
      <c r="AA11" s="274">
        <v>16</v>
      </c>
      <c r="AB11" s="274">
        <v>0.37</v>
      </c>
      <c r="AC11" s="274">
        <v>2.4</v>
      </c>
      <c r="AD11" s="275">
        <v>0.2</v>
      </c>
      <c r="AE11" s="274">
        <v>0.86</v>
      </c>
      <c r="AF11" s="274">
        <v>0.98</v>
      </c>
      <c r="AG11" s="274" t="s">
        <v>219</v>
      </c>
      <c r="AH11" s="276">
        <v>4</v>
      </c>
      <c r="AI11" s="274">
        <v>0.21</v>
      </c>
      <c r="AJ11" s="274">
        <v>1.5</v>
      </c>
      <c r="AK11" s="274" t="s">
        <v>66</v>
      </c>
      <c r="AL11" s="277" t="s">
        <v>241</v>
      </c>
      <c r="AM11" s="277">
        <v>0.43</v>
      </c>
      <c r="AN11" s="277">
        <v>0.87</v>
      </c>
      <c r="AO11" s="277" t="s">
        <v>220</v>
      </c>
      <c r="AP11" s="274">
        <v>3.7</v>
      </c>
      <c r="AQ11" s="277" t="s">
        <v>245</v>
      </c>
      <c r="AR11" s="278" t="s">
        <v>246</v>
      </c>
      <c r="AS11" s="273" t="s">
        <v>247</v>
      </c>
      <c r="AT11" s="279">
        <v>1.3</v>
      </c>
      <c r="AU11" s="279">
        <v>0.83</v>
      </c>
      <c r="AV11" s="279">
        <v>0.46</v>
      </c>
      <c r="AW11" s="279">
        <v>2.4</v>
      </c>
      <c r="AX11" s="274">
        <v>2.6</v>
      </c>
      <c r="AY11" s="277">
        <v>1.1000000000000001</v>
      </c>
      <c r="AZ11" s="277">
        <v>5.0999999999999997E-2</v>
      </c>
      <c r="BA11" s="280">
        <v>5</v>
      </c>
      <c r="BB11" s="277">
        <v>1.4</v>
      </c>
      <c r="BC11" s="278">
        <v>5.2</v>
      </c>
      <c r="BD11" s="620">
        <f t="shared" si="20"/>
        <v>0.998</v>
      </c>
      <c r="BE11" s="617">
        <f t="shared" si="21"/>
        <v>0.96500000000000041</v>
      </c>
      <c r="BF11" s="616"/>
      <c r="BG11" s="617" t="e">
        <f t="shared" si="0"/>
        <v>#VALUE!</v>
      </c>
      <c r="BH11" s="617">
        <f t="shared" si="1"/>
        <v>1.4838709677419354E-3</v>
      </c>
      <c r="BI11" s="617">
        <f t="shared" si="2"/>
        <v>0.12708333333333333</v>
      </c>
      <c r="BJ11" s="617">
        <f t="shared" si="3"/>
        <v>4.0869565217391303E-3</v>
      </c>
      <c r="BK11" s="617">
        <f t="shared" si="4"/>
        <v>0.12777777777777777</v>
      </c>
      <c r="BL11" s="617">
        <f t="shared" si="5"/>
        <v>2.1794871794871798E-3</v>
      </c>
      <c r="BM11" s="617">
        <f t="shared" si="6"/>
        <v>9.0534979423868302E-4</v>
      </c>
      <c r="BN11" s="617" t="e">
        <f t="shared" si="7"/>
        <v>#VALUE!</v>
      </c>
      <c r="BO11" s="621" t="e">
        <f t="shared" si="22"/>
        <v>#VALUE!</v>
      </c>
      <c r="BP11" s="621" t="e">
        <f t="shared" si="23"/>
        <v>#VALUE!</v>
      </c>
      <c r="BQ11" s="618" t="e">
        <f t="shared" si="24"/>
        <v>#VALUE!</v>
      </c>
      <c r="BR11" s="616"/>
      <c r="BS11" s="615">
        <f t="shared" si="8"/>
        <v>8.3874999999999993</v>
      </c>
      <c r="BT11" s="615">
        <f t="shared" si="9"/>
        <v>0.11868000000000001</v>
      </c>
      <c r="BU11" s="615">
        <f t="shared" si="10"/>
        <v>0.23499999999999999</v>
      </c>
      <c r="BV11" s="615">
        <f t="shared" si="11"/>
        <v>8</v>
      </c>
      <c r="BW11" s="615">
        <f t="shared" si="12"/>
        <v>1.4</v>
      </c>
      <c r="BX11" s="615">
        <f t="shared" si="13"/>
        <v>0.25731999999999999</v>
      </c>
      <c r="BY11" s="615">
        <f t="shared" si="14"/>
        <v>2.9399999999999999E-2</v>
      </c>
      <c r="BZ11" s="615">
        <f t="shared" si="15"/>
        <v>7.0379999999999984E-2</v>
      </c>
      <c r="CA11" s="615">
        <f t="shared" si="16"/>
        <v>3.173E-3</v>
      </c>
      <c r="CB11" s="615">
        <f t="shared" si="25"/>
        <v>18.501452999999998</v>
      </c>
      <c r="CC11" s="618">
        <f t="shared" si="17"/>
        <v>0.88523698564593301</v>
      </c>
      <c r="CD11" s="617"/>
      <c r="CE11" s="617">
        <f t="shared" si="26"/>
        <v>0.78125</v>
      </c>
      <c r="CF11" s="617">
        <f t="shared" si="27"/>
        <v>1.04</v>
      </c>
      <c r="CG11" s="617">
        <f t="shared" si="18"/>
        <v>0.20000000000000018</v>
      </c>
      <c r="CH11" s="617">
        <f t="shared" si="19"/>
        <v>1.151</v>
      </c>
    </row>
    <row r="12" spans="2:86" ht="20.149999999999999" customHeight="1" x14ac:dyDescent="0.2">
      <c r="B12" s="31" t="s">
        <v>202</v>
      </c>
      <c r="C12" s="46" t="s">
        <v>203</v>
      </c>
      <c r="D12" s="47">
        <v>17.8</v>
      </c>
      <c r="E12" s="630">
        <f t="shared" ref="E12:E18" si="28">0.5*0.022</f>
        <v>1.0999999999999999E-2</v>
      </c>
      <c r="F12" s="281">
        <v>0.3</v>
      </c>
      <c r="G12" s="49">
        <v>5.9</v>
      </c>
      <c r="H12" s="50">
        <v>0.25</v>
      </c>
      <c r="I12" s="49">
        <v>2.1</v>
      </c>
      <c r="J12" s="49">
        <v>5.7000000000000002E-2</v>
      </c>
      <c r="K12" s="49">
        <v>2.7E-2</v>
      </c>
      <c r="L12" s="632">
        <f t="shared" ref="L12:L18" si="29">0.5*0.054</f>
        <v>2.7E-2</v>
      </c>
      <c r="M12" s="282">
        <v>280</v>
      </c>
      <c r="N12" s="283">
        <v>23</v>
      </c>
      <c r="O12" s="283" t="s">
        <v>232</v>
      </c>
      <c r="P12" s="283">
        <v>75</v>
      </c>
      <c r="Q12" s="283">
        <v>27</v>
      </c>
      <c r="R12" s="283">
        <v>0.11</v>
      </c>
      <c r="S12" s="284">
        <v>5</v>
      </c>
      <c r="T12" s="283">
        <v>5.3</v>
      </c>
      <c r="U12" s="637">
        <f>0.5*0.41</f>
        <v>0.20499999999999999</v>
      </c>
      <c r="V12" s="283">
        <v>2.1</v>
      </c>
      <c r="W12" s="283">
        <v>42</v>
      </c>
      <c r="X12" s="637">
        <f>0.5*0.092</f>
        <v>4.5999999999999999E-2</v>
      </c>
      <c r="Y12" s="637">
        <f>0.5*3.5</f>
        <v>1.75</v>
      </c>
      <c r="Z12" s="283">
        <v>1.8</v>
      </c>
      <c r="AA12" s="283">
        <v>9.5</v>
      </c>
      <c r="AB12" s="283">
        <v>0.41</v>
      </c>
      <c r="AC12" s="284">
        <v>2</v>
      </c>
      <c r="AD12" s="283">
        <v>0.13</v>
      </c>
      <c r="AE12" s="283">
        <v>0.35</v>
      </c>
      <c r="AF12" s="283">
        <v>0.51</v>
      </c>
      <c r="AG12" s="637">
        <f t="shared" ref="AG12:AG18" si="30">0.5*0.1</f>
        <v>0.05</v>
      </c>
      <c r="AH12" s="284">
        <v>3</v>
      </c>
      <c r="AI12" s="637">
        <f>0.5*0.092</f>
        <v>4.5999999999999999E-2</v>
      </c>
      <c r="AJ12" s="637">
        <f>0.5*0.096</f>
        <v>4.8000000000000001E-2</v>
      </c>
      <c r="AK12" s="637">
        <f t="shared" ref="AK12:AK18" si="31">0.5*0.12</f>
        <v>0.06</v>
      </c>
      <c r="AL12" s="638">
        <f>0.5*0.33</f>
        <v>0.16500000000000001</v>
      </c>
      <c r="AM12" s="285">
        <v>0.93</v>
      </c>
      <c r="AN12" s="638">
        <f t="shared" ref="AN12:AN18" si="32">0.5*0.37</f>
        <v>0.185</v>
      </c>
      <c r="AO12" s="638">
        <f t="shared" ref="AO12:AO18" si="33">0.5*0.15</f>
        <v>7.4999999999999997E-2</v>
      </c>
      <c r="AP12" s="283">
        <v>2.6</v>
      </c>
      <c r="AQ12" s="638">
        <f t="shared" ref="AQ12:AQ18" si="34">0.5*0.28</f>
        <v>0.14000000000000001</v>
      </c>
      <c r="AR12" s="641">
        <f>0.5*0.13</f>
        <v>6.5000000000000002E-2</v>
      </c>
      <c r="AS12" s="643">
        <f t="shared" ref="AS12:AS18" si="35">0.5*0.085</f>
        <v>4.2500000000000003E-2</v>
      </c>
      <c r="AT12" s="287">
        <v>0.99</v>
      </c>
      <c r="AU12" s="287">
        <v>0.71</v>
      </c>
      <c r="AV12" s="287">
        <v>0.36</v>
      </c>
      <c r="AW12" s="287">
        <v>1.8</v>
      </c>
      <c r="AX12" s="284">
        <v>2</v>
      </c>
      <c r="AY12" s="285">
        <v>0.96</v>
      </c>
      <c r="AZ12" s="285">
        <v>5.1999999999999998E-2</v>
      </c>
      <c r="BA12" s="285">
        <v>3.9</v>
      </c>
      <c r="BB12" s="285">
        <v>1.2</v>
      </c>
      <c r="BC12" s="286">
        <v>3.6</v>
      </c>
      <c r="BD12" s="619">
        <f t="shared" si="20"/>
        <v>1.0006410256410256</v>
      </c>
      <c r="BE12" s="610">
        <f t="shared" si="21"/>
        <v>1.01</v>
      </c>
      <c r="BG12" s="610">
        <f t="shared" si="0"/>
        <v>3.0985915492957747E-4</v>
      </c>
      <c r="BH12" s="610">
        <f t="shared" si="1"/>
        <v>4.8387096774193551E-3</v>
      </c>
      <c r="BI12" s="610">
        <f t="shared" si="2"/>
        <v>0.12291666666666667</v>
      </c>
      <c r="BJ12" s="610">
        <f t="shared" si="3"/>
        <v>1.0869565217391304E-2</v>
      </c>
      <c r="BK12" s="610">
        <f t="shared" si="4"/>
        <v>0.11666666666666667</v>
      </c>
      <c r="BL12" s="610">
        <f t="shared" si="5"/>
        <v>1.4615384615384616E-3</v>
      </c>
      <c r="BM12" s="610">
        <f t="shared" si="6"/>
        <v>2.2222222222222222E-3</v>
      </c>
      <c r="BN12" s="610">
        <f t="shared" si="7"/>
        <v>1.3500000000000001E-3</v>
      </c>
      <c r="BO12" s="563">
        <f t="shared" si="22"/>
        <v>128.06523549901561</v>
      </c>
      <c r="BP12" s="563">
        <f t="shared" si="23"/>
        <v>132.56999256781862</v>
      </c>
      <c r="BQ12" s="611">
        <f t="shared" si="24"/>
        <v>0.96601978334955019</v>
      </c>
      <c r="BS12" s="564">
        <f t="shared" si="8"/>
        <v>8.1125000000000007</v>
      </c>
      <c r="BT12" s="564">
        <f t="shared" si="9"/>
        <v>0.38700000000000001</v>
      </c>
      <c r="BU12" s="564">
        <f t="shared" si="10"/>
        <v>0.625</v>
      </c>
      <c r="BV12" s="564">
        <f t="shared" si="11"/>
        <v>6.24</v>
      </c>
      <c r="BW12" s="564">
        <f t="shared" si="12"/>
        <v>1.2</v>
      </c>
      <c r="BX12" s="564">
        <f t="shared" si="13"/>
        <v>0.21137</v>
      </c>
      <c r="BY12" s="564">
        <f t="shared" si="14"/>
        <v>3.78E-2</v>
      </c>
      <c r="BZ12" s="564">
        <f t="shared" si="15"/>
        <v>5.7959999999999998E-2</v>
      </c>
      <c r="CA12" s="564">
        <f t="shared" si="16"/>
        <v>8.3499999999999998E-3</v>
      </c>
      <c r="CB12" s="564">
        <f t="shared" si="25"/>
        <v>16.879980000000003</v>
      </c>
      <c r="CC12" s="611">
        <f t="shared" si="17"/>
        <v>0.94831348314606756</v>
      </c>
      <c r="CD12" s="610"/>
      <c r="CE12" s="610">
        <f t="shared" si="26"/>
        <v>0.76470588235294124</v>
      </c>
      <c r="CF12" s="610">
        <f t="shared" si="27"/>
        <v>0.92307692307692313</v>
      </c>
      <c r="CG12" s="610">
        <f t="shared" si="18"/>
        <v>0.19999999999999996</v>
      </c>
      <c r="CH12" s="610">
        <f t="shared" si="19"/>
        <v>1.012</v>
      </c>
    </row>
    <row r="13" spans="2:86" ht="20.149999999999999" customHeight="1" x14ac:dyDescent="0.2">
      <c r="B13" s="31" t="s">
        <v>202</v>
      </c>
      <c r="C13" s="40" t="s">
        <v>204</v>
      </c>
      <c r="D13" s="33">
        <v>26.9</v>
      </c>
      <c r="E13" s="623">
        <f t="shared" si="28"/>
        <v>1.0999999999999999E-2</v>
      </c>
      <c r="F13" s="35">
        <v>0.26</v>
      </c>
      <c r="G13" s="35">
        <v>8.6999999999999993</v>
      </c>
      <c r="H13" s="36">
        <v>0.14000000000000001</v>
      </c>
      <c r="I13" s="35">
        <v>3.2</v>
      </c>
      <c r="J13" s="35">
        <v>5.3999999999999999E-2</v>
      </c>
      <c r="K13" s="35">
        <v>1.2E-2</v>
      </c>
      <c r="L13" s="633">
        <f t="shared" si="29"/>
        <v>2.7E-2</v>
      </c>
      <c r="M13" s="263">
        <v>140</v>
      </c>
      <c r="N13" s="264">
        <v>29</v>
      </c>
      <c r="O13" s="264" t="s">
        <v>232</v>
      </c>
      <c r="P13" s="264">
        <v>77</v>
      </c>
      <c r="Q13" s="264">
        <v>34</v>
      </c>
      <c r="R13" s="635">
        <f t="shared" ref="R13:R18" si="36">0.5*0.1</f>
        <v>0.05</v>
      </c>
      <c r="S13" s="264">
        <v>2.7</v>
      </c>
      <c r="T13" s="264">
        <v>4.2</v>
      </c>
      <c r="U13" s="264">
        <v>0.53</v>
      </c>
      <c r="V13" s="264">
        <v>3.2</v>
      </c>
      <c r="W13" s="264">
        <v>50</v>
      </c>
      <c r="X13" s="635">
        <f>0.5*0.092</f>
        <v>4.5999999999999999E-2</v>
      </c>
      <c r="Y13" s="635">
        <f>0.5*3.5</f>
        <v>1.75</v>
      </c>
      <c r="Z13" s="269">
        <v>3</v>
      </c>
      <c r="AA13" s="264">
        <v>24</v>
      </c>
      <c r="AB13" s="264">
        <v>1.4</v>
      </c>
      <c r="AC13" s="264">
        <v>1.8</v>
      </c>
      <c r="AD13" s="264">
        <v>0.17</v>
      </c>
      <c r="AE13" s="264">
        <v>0.33</v>
      </c>
      <c r="AF13" s="264">
        <v>0.98</v>
      </c>
      <c r="AG13" s="635">
        <f t="shared" si="30"/>
        <v>0.05</v>
      </c>
      <c r="AH13" s="264">
        <v>2.4</v>
      </c>
      <c r="AI13" s="635">
        <f>0.5*0.092</f>
        <v>4.5999999999999999E-2</v>
      </c>
      <c r="AJ13" s="635">
        <f>0.5*0.096</f>
        <v>4.8000000000000001E-2</v>
      </c>
      <c r="AK13" s="635">
        <f t="shared" si="31"/>
        <v>0.06</v>
      </c>
      <c r="AL13" s="639">
        <f>0.5*0.33</f>
        <v>0.16500000000000001</v>
      </c>
      <c r="AM13" s="265">
        <v>0.48</v>
      </c>
      <c r="AN13" s="639">
        <f t="shared" si="32"/>
        <v>0.185</v>
      </c>
      <c r="AO13" s="639">
        <f t="shared" si="33"/>
        <v>7.4999999999999997E-2</v>
      </c>
      <c r="AP13" s="264">
        <v>5.4</v>
      </c>
      <c r="AQ13" s="639">
        <f t="shared" si="34"/>
        <v>0.14000000000000001</v>
      </c>
      <c r="AR13" s="266">
        <v>0.26</v>
      </c>
      <c r="AS13" s="644">
        <f t="shared" si="35"/>
        <v>4.2500000000000003E-2</v>
      </c>
      <c r="AT13" s="267">
        <v>1.2</v>
      </c>
      <c r="AU13" s="267">
        <v>0.75</v>
      </c>
      <c r="AV13" s="267">
        <v>0.37</v>
      </c>
      <c r="AW13" s="267">
        <v>2.4</v>
      </c>
      <c r="AX13" s="264">
        <v>2.6</v>
      </c>
      <c r="AY13" s="265">
        <v>1.4</v>
      </c>
      <c r="AZ13" s="265">
        <v>4.5999999999999999E-2</v>
      </c>
      <c r="BA13" s="265">
        <v>4.7</v>
      </c>
      <c r="BB13" s="265">
        <v>1.6</v>
      </c>
      <c r="BC13" s="266">
        <v>5.4</v>
      </c>
      <c r="BD13" s="619">
        <f t="shared" si="20"/>
        <v>1.0132978723404253</v>
      </c>
      <c r="BE13" s="610">
        <f t="shared" si="21"/>
        <v>1.0287500000000001</v>
      </c>
      <c r="BG13" s="610">
        <f t="shared" ref="BG13:BG20" si="37">E13/35.5</f>
        <v>3.0985915492957747E-4</v>
      </c>
      <c r="BH13" s="610">
        <f t="shared" ref="BH13:BH20" si="38">F13/62</f>
        <v>4.193548387096774E-3</v>
      </c>
      <c r="BI13" s="610">
        <f t="shared" ref="BI13:BI20" si="39">G13/(96/2)</f>
        <v>0.18124999999999999</v>
      </c>
      <c r="BJ13" s="610">
        <f t="shared" ref="BJ13:BJ20" si="40">H13/23</f>
        <v>6.0869565217391312E-3</v>
      </c>
      <c r="BK13" s="610">
        <f t="shared" ref="BK13:BK20" si="41">I13/18</f>
        <v>0.17777777777777778</v>
      </c>
      <c r="BL13" s="610">
        <f t="shared" ref="BL13:BL20" si="42">J13/39</f>
        <v>1.3846153846153845E-3</v>
      </c>
      <c r="BM13" s="610">
        <f t="shared" ref="BM13:BM20" si="43">K13/(24.3/2)</f>
        <v>9.8765432098765434E-4</v>
      </c>
      <c r="BN13" s="610">
        <f t="shared" ref="BN13:BN20" si="44">L13/(40/2)</f>
        <v>1.3500000000000001E-3</v>
      </c>
      <c r="BO13" s="563">
        <f t="shared" si="22"/>
        <v>185.75340754202634</v>
      </c>
      <c r="BP13" s="563">
        <f t="shared" si="23"/>
        <v>187.58700400511992</v>
      </c>
      <c r="BQ13" s="611">
        <f t="shared" si="24"/>
        <v>0.99022535450780191</v>
      </c>
      <c r="BS13" s="564">
        <f t="shared" ref="BS13:BS20" si="45">1.375*G13</f>
        <v>11.962499999999999</v>
      </c>
      <c r="BT13" s="564">
        <f t="shared" ref="BT13:BT20" si="46">1.29*F13</f>
        <v>0.33540000000000003</v>
      </c>
      <c r="BU13" s="564">
        <f t="shared" ref="BU13:BU20" si="47">2.5*H13</f>
        <v>0.35000000000000003</v>
      </c>
      <c r="BV13" s="564">
        <f t="shared" ref="BV13:BV20" si="48">1.6*BA13</f>
        <v>7.5200000000000005</v>
      </c>
      <c r="BW13" s="564">
        <f t="shared" ref="BW13:BW20" si="49">BB13</f>
        <v>1.6</v>
      </c>
      <c r="BX13" s="564">
        <f t="shared" ref="BX13:BX20" si="50">9.19/1000*N13</f>
        <v>0.26651000000000002</v>
      </c>
      <c r="BY13" s="564">
        <f t="shared" ref="BY13:BY20" si="51">Q13/1000*1.4</f>
        <v>4.7600000000000003E-2</v>
      </c>
      <c r="BZ13" s="564">
        <f t="shared" ref="BZ13:BZ20" si="52">W13/1000*1.38</f>
        <v>6.8999999999999992E-2</v>
      </c>
      <c r="CA13" s="564">
        <f t="shared" ref="CA13:CA20" si="53">S13/1000*1.67</f>
        <v>4.509E-3</v>
      </c>
      <c r="CB13" s="564">
        <f t="shared" si="25"/>
        <v>22.155518999999998</v>
      </c>
      <c r="CC13" s="611">
        <f t="shared" ref="CC13:CC20" si="54">CB13/D13</f>
        <v>0.82362524163568773</v>
      </c>
      <c r="CD13" s="610"/>
      <c r="CE13" s="610">
        <f t="shared" si="26"/>
        <v>0.74603174603174593</v>
      </c>
      <c r="CF13" s="610">
        <f t="shared" si="27"/>
        <v>1.1489361702127661</v>
      </c>
      <c r="CG13" s="610">
        <f t="shared" ref="CG13:CG20" si="55">IF(AX13-AW13&gt;0,AX13-AW13,0)</f>
        <v>0.20000000000000018</v>
      </c>
      <c r="CH13" s="610">
        <f t="shared" ref="CH13:CH20" si="56">IF(AX13-AW13&gt;0,AY13+AZ13,AX13+AY13+AZ13-AW13)</f>
        <v>1.446</v>
      </c>
    </row>
    <row r="14" spans="2:86" ht="20.149999999999999" customHeight="1" x14ac:dyDescent="0.2">
      <c r="B14" s="31" t="s">
        <v>202</v>
      </c>
      <c r="C14" s="32" t="s">
        <v>205</v>
      </c>
      <c r="D14" s="33">
        <v>16.5</v>
      </c>
      <c r="E14" s="623">
        <f t="shared" si="28"/>
        <v>1.0999999999999999E-2</v>
      </c>
      <c r="F14" s="35">
        <v>0.14000000000000001</v>
      </c>
      <c r="G14" s="288">
        <v>5</v>
      </c>
      <c r="H14" s="36">
        <v>8.1000000000000003E-2</v>
      </c>
      <c r="I14" s="35">
        <v>1.9</v>
      </c>
      <c r="J14" s="35">
        <v>4.5999999999999999E-2</v>
      </c>
      <c r="K14" s="35">
        <v>7.4000000000000003E-3</v>
      </c>
      <c r="L14" s="633">
        <f t="shared" si="29"/>
        <v>2.7E-2</v>
      </c>
      <c r="M14" s="263">
        <v>110</v>
      </c>
      <c r="N14" s="264">
        <v>22</v>
      </c>
      <c r="O14" s="264" t="s">
        <v>232</v>
      </c>
      <c r="P14" s="264">
        <v>65</v>
      </c>
      <c r="Q14" s="264">
        <v>25</v>
      </c>
      <c r="R14" s="635">
        <f t="shared" si="36"/>
        <v>0.05</v>
      </c>
      <c r="S14" s="635">
        <f>0.5*1.7</f>
        <v>0.85</v>
      </c>
      <c r="T14" s="264">
        <v>2.7</v>
      </c>
      <c r="U14" s="635">
        <f>0.5*0.41</f>
        <v>0.20499999999999999</v>
      </c>
      <c r="V14" s="264">
        <v>2.2999999999999998</v>
      </c>
      <c r="W14" s="635">
        <f>0.5*37</f>
        <v>18.5</v>
      </c>
      <c r="X14" s="635">
        <f>0.5*0.092</f>
        <v>4.5999999999999999E-2</v>
      </c>
      <c r="Y14" s="635">
        <f>0.5*3.5</f>
        <v>1.75</v>
      </c>
      <c r="Z14" s="264">
        <v>1.5</v>
      </c>
      <c r="AA14" s="264">
        <v>14</v>
      </c>
      <c r="AB14" s="264">
        <v>0.62</v>
      </c>
      <c r="AC14" s="264">
        <v>0.62</v>
      </c>
      <c r="AD14" s="264">
        <v>0.17</v>
      </c>
      <c r="AE14" s="635">
        <f>0.5*0.23</f>
        <v>0.115</v>
      </c>
      <c r="AF14" s="264">
        <v>0.83</v>
      </c>
      <c r="AG14" s="635">
        <f t="shared" si="30"/>
        <v>0.05</v>
      </c>
      <c r="AH14" s="264">
        <v>1.6</v>
      </c>
      <c r="AI14" s="635">
        <f>0.5*0.092</f>
        <v>4.5999999999999999E-2</v>
      </c>
      <c r="AJ14" s="635">
        <f>0.5*0.096</f>
        <v>4.8000000000000001E-2</v>
      </c>
      <c r="AK14" s="635">
        <f t="shared" si="31"/>
        <v>0.06</v>
      </c>
      <c r="AL14" s="639">
        <f>0.5*0.33</f>
        <v>0.16500000000000001</v>
      </c>
      <c r="AM14" s="265">
        <v>0.19</v>
      </c>
      <c r="AN14" s="639">
        <f t="shared" si="32"/>
        <v>0.185</v>
      </c>
      <c r="AO14" s="639">
        <f t="shared" si="33"/>
        <v>7.4999999999999997E-2</v>
      </c>
      <c r="AP14" s="264">
        <v>3.3</v>
      </c>
      <c r="AQ14" s="639">
        <f t="shared" si="34"/>
        <v>0.14000000000000001</v>
      </c>
      <c r="AR14" s="642">
        <f>0.5*0.13</f>
        <v>6.5000000000000002E-2</v>
      </c>
      <c r="AS14" s="644">
        <f t="shared" si="35"/>
        <v>4.2500000000000003E-2</v>
      </c>
      <c r="AT14" s="267">
        <v>0.97</v>
      </c>
      <c r="AU14" s="267">
        <v>0.66</v>
      </c>
      <c r="AV14" s="267">
        <v>0.32</v>
      </c>
      <c r="AW14" s="267">
        <v>1.5</v>
      </c>
      <c r="AX14" s="264">
        <v>1.6</v>
      </c>
      <c r="AY14" s="265">
        <v>1.1000000000000001</v>
      </c>
      <c r="AZ14" s="265">
        <v>6.4000000000000001E-2</v>
      </c>
      <c r="BA14" s="265">
        <v>3.5</v>
      </c>
      <c r="BB14" s="265">
        <v>1.3</v>
      </c>
      <c r="BC14" s="266">
        <v>3.2</v>
      </c>
      <c r="BD14" s="619">
        <f t="shared" si="20"/>
        <v>0.99785714285714278</v>
      </c>
      <c r="BE14" s="610">
        <f t="shared" si="21"/>
        <v>0.97230769230769243</v>
      </c>
      <c r="BG14" s="610">
        <f t="shared" si="37"/>
        <v>3.0985915492957747E-4</v>
      </c>
      <c r="BH14" s="610">
        <f t="shared" si="38"/>
        <v>2.2580645161290325E-3</v>
      </c>
      <c r="BI14" s="610">
        <f t="shared" si="39"/>
        <v>0.10416666666666667</v>
      </c>
      <c r="BJ14" s="610">
        <f t="shared" si="40"/>
        <v>3.5217391304347826E-3</v>
      </c>
      <c r="BK14" s="610">
        <f t="shared" si="41"/>
        <v>0.10555555555555556</v>
      </c>
      <c r="BL14" s="610">
        <f t="shared" si="42"/>
        <v>1.1794871794871796E-3</v>
      </c>
      <c r="BM14" s="610">
        <f t="shared" si="43"/>
        <v>6.0905349794238689E-4</v>
      </c>
      <c r="BN14" s="610">
        <f t="shared" si="44"/>
        <v>1.3500000000000001E-3</v>
      </c>
      <c r="BO14" s="563">
        <f t="shared" si="22"/>
        <v>106.73459033772528</v>
      </c>
      <c r="BP14" s="563">
        <f t="shared" si="23"/>
        <v>112.2158353634199</v>
      </c>
      <c r="BQ14" s="611">
        <f t="shared" si="24"/>
        <v>0.95115444261549031</v>
      </c>
      <c r="BS14" s="564">
        <f t="shared" si="45"/>
        <v>6.875</v>
      </c>
      <c r="BT14" s="564">
        <f t="shared" si="46"/>
        <v>0.18060000000000001</v>
      </c>
      <c r="BU14" s="564">
        <f t="shared" si="47"/>
        <v>0.20250000000000001</v>
      </c>
      <c r="BV14" s="564">
        <f t="shared" si="48"/>
        <v>5.6000000000000005</v>
      </c>
      <c r="BW14" s="564">
        <f t="shared" si="49"/>
        <v>1.3</v>
      </c>
      <c r="BX14" s="564">
        <f t="shared" si="50"/>
        <v>0.20218</v>
      </c>
      <c r="BY14" s="564">
        <f t="shared" si="51"/>
        <v>3.4999999999999996E-2</v>
      </c>
      <c r="BZ14" s="564">
        <f t="shared" si="52"/>
        <v>2.5529999999999997E-2</v>
      </c>
      <c r="CA14" s="564">
        <f t="shared" si="53"/>
        <v>1.4194999999999998E-3</v>
      </c>
      <c r="CB14" s="564">
        <f t="shared" si="25"/>
        <v>14.422229500000002</v>
      </c>
      <c r="CC14" s="611">
        <f t="shared" si="54"/>
        <v>0.87407451515151524</v>
      </c>
      <c r="CD14" s="610"/>
      <c r="CE14" s="610">
        <f t="shared" si="26"/>
        <v>0.72916666666666674</v>
      </c>
      <c r="CF14" s="610">
        <f t="shared" si="27"/>
        <v>0.91428571428571437</v>
      </c>
      <c r="CG14" s="610">
        <f t="shared" si="55"/>
        <v>0.10000000000000009</v>
      </c>
      <c r="CH14" s="610">
        <f t="shared" si="56"/>
        <v>1.1640000000000001</v>
      </c>
    </row>
    <row r="15" spans="2:86" ht="20.149999999999999" customHeight="1" x14ac:dyDescent="0.2">
      <c r="B15" s="31" t="s">
        <v>202</v>
      </c>
      <c r="C15" s="32" t="s">
        <v>206</v>
      </c>
      <c r="D15" s="33">
        <v>17.100000000000001</v>
      </c>
      <c r="E15" s="623">
        <f t="shared" si="28"/>
        <v>1.0999999999999999E-2</v>
      </c>
      <c r="F15" s="35">
        <v>5.8000000000000003E-2</v>
      </c>
      <c r="G15" s="35">
        <v>6.2</v>
      </c>
      <c r="H15" s="36">
        <v>5.0999999999999997E-2</v>
      </c>
      <c r="I15" s="35">
        <v>2.2000000000000002</v>
      </c>
      <c r="J15" s="35">
        <v>6.6000000000000003E-2</v>
      </c>
      <c r="K15" s="35">
        <v>6.7999999999999996E-3</v>
      </c>
      <c r="L15" s="633">
        <f t="shared" si="29"/>
        <v>2.7E-2</v>
      </c>
      <c r="M15" s="263">
        <v>54</v>
      </c>
      <c r="N15" s="264">
        <v>28</v>
      </c>
      <c r="O15" s="264" t="s">
        <v>232</v>
      </c>
      <c r="P15" s="264">
        <v>82</v>
      </c>
      <c r="Q15" s="264">
        <v>26</v>
      </c>
      <c r="R15" s="635">
        <f t="shared" si="36"/>
        <v>0.05</v>
      </c>
      <c r="S15" s="264">
        <v>2.5</v>
      </c>
      <c r="T15" s="264">
        <v>2.4</v>
      </c>
      <c r="U15" s="635">
        <f>0.5*0.41</f>
        <v>0.20499999999999999</v>
      </c>
      <c r="V15" s="264">
        <v>2.6</v>
      </c>
      <c r="W15" s="264">
        <v>96</v>
      </c>
      <c r="X15" s="635">
        <f>0.5*0.092</f>
        <v>4.5999999999999999E-2</v>
      </c>
      <c r="Y15" s="635">
        <f>0.5*3.5</f>
        <v>1.75</v>
      </c>
      <c r="Z15" s="264">
        <v>4.7</v>
      </c>
      <c r="AA15" s="264">
        <v>14</v>
      </c>
      <c r="AB15" s="264">
        <v>0.78</v>
      </c>
      <c r="AC15" s="264">
        <v>1.6</v>
      </c>
      <c r="AD15" s="289">
        <v>0.2</v>
      </c>
      <c r="AE15" s="635">
        <f>0.5*0.23</f>
        <v>0.115</v>
      </c>
      <c r="AF15" s="264">
        <v>0.87</v>
      </c>
      <c r="AG15" s="635">
        <f t="shared" si="30"/>
        <v>0.05</v>
      </c>
      <c r="AH15" s="264">
        <v>2.5</v>
      </c>
      <c r="AI15" s="635">
        <f>0.5*0.092</f>
        <v>4.5999999999999999E-2</v>
      </c>
      <c r="AJ15" s="635">
        <f>0.5*0.096</f>
        <v>4.8000000000000001E-2</v>
      </c>
      <c r="AK15" s="635">
        <f t="shared" si="31"/>
        <v>0.06</v>
      </c>
      <c r="AL15" s="639">
        <f>0.5*0.33</f>
        <v>0.16500000000000001</v>
      </c>
      <c r="AM15" s="265">
        <v>0.14000000000000001</v>
      </c>
      <c r="AN15" s="639">
        <f t="shared" si="32"/>
        <v>0.185</v>
      </c>
      <c r="AO15" s="639">
        <f t="shared" si="33"/>
        <v>7.4999999999999997E-2</v>
      </c>
      <c r="AP15" s="264">
        <v>6.4</v>
      </c>
      <c r="AQ15" s="639">
        <f t="shared" si="34"/>
        <v>0.14000000000000001</v>
      </c>
      <c r="AR15" s="266">
        <v>0.16</v>
      </c>
      <c r="AS15" s="644">
        <f t="shared" si="35"/>
        <v>4.2500000000000003E-2</v>
      </c>
      <c r="AT15" s="267">
        <v>0.96</v>
      </c>
      <c r="AU15" s="267">
        <v>0.61</v>
      </c>
      <c r="AV15" s="267">
        <v>0.36</v>
      </c>
      <c r="AW15" s="267">
        <v>1.7</v>
      </c>
      <c r="AX15" s="264">
        <v>2.1</v>
      </c>
      <c r="AY15" s="265">
        <v>1.2</v>
      </c>
      <c r="AZ15" s="265">
        <v>7.1999999999999995E-2</v>
      </c>
      <c r="BA15" s="265">
        <v>3.6</v>
      </c>
      <c r="BB15" s="265">
        <v>1.7</v>
      </c>
      <c r="BC15" s="290">
        <v>3</v>
      </c>
      <c r="BD15" s="619">
        <f t="shared" si="20"/>
        <v>1.0201388888888887</v>
      </c>
      <c r="BE15" s="610">
        <f t="shared" si="21"/>
        <v>0.98352941176470587</v>
      </c>
      <c r="BG15" s="610">
        <f t="shared" si="37"/>
        <v>3.0985915492957747E-4</v>
      </c>
      <c r="BH15" s="610">
        <f t="shared" si="38"/>
        <v>9.3548387096774202E-4</v>
      </c>
      <c r="BI15" s="610">
        <f t="shared" si="39"/>
        <v>0.12916666666666668</v>
      </c>
      <c r="BJ15" s="610">
        <f t="shared" si="40"/>
        <v>2.217391304347826E-3</v>
      </c>
      <c r="BK15" s="610">
        <f t="shared" si="41"/>
        <v>0.12222222222222223</v>
      </c>
      <c r="BL15" s="610">
        <f t="shared" si="42"/>
        <v>1.6923076923076924E-3</v>
      </c>
      <c r="BM15" s="610">
        <f t="shared" si="43"/>
        <v>5.5967078189300408E-4</v>
      </c>
      <c r="BN15" s="610">
        <f t="shared" si="44"/>
        <v>1.3500000000000001E-3</v>
      </c>
      <c r="BO15" s="563">
        <f t="shared" si="22"/>
        <v>130.412009692564</v>
      </c>
      <c r="BP15" s="563">
        <f t="shared" si="23"/>
        <v>128.04159200077075</v>
      </c>
      <c r="BQ15" s="611">
        <f t="shared" si="24"/>
        <v>1.0185128726904535</v>
      </c>
      <c r="BS15" s="564">
        <f t="shared" si="45"/>
        <v>8.5250000000000004</v>
      </c>
      <c r="BT15" s="564">
        <f t="shared" si="46"/>
        <v>7.4820000000000011E-2</v>
      </c>
      <c r="BU15" s="564">
        <f t="shared" si="47"/>
        <v>0.1275</v>
      </c>
      <c r="BV15" s="564">
        <f t="shared" si="48"/>
        <v>5.7600000000000007</v>
      </c>
      <c r="BW15" s="564">
        <f t="shared" si="49"/>
        <v>1.7</v>
      </c>
      <c r="BX15" s="564">
        <f t="shared" si="50"/>
        <v>0.25731999999999999</v>
      </c>
      <c r="BY15" s="564">
        <f t="shared" si="51"/>
        <v>3.6399999999999995E-2</v>
      </c>
      <c r="BZ15" s="564">
        <f t="shared" si="52"/>
        <v>0.13247999999999999</v>
      </c>
      <c r="CA15" s="564">
        <f t="shared" si="53"/>
        <v>4.1749999999999999E-3</v>
      </c>
      <c r="CB15" s="564">
        <f t="shared" si="25"/>
        <v>16.617695000000001</v>
      </c>
      <c r="CC15" s="611">
        <f t="shared" si="54"/>
        <v>0.97179502923976602</v>
      </c>
      <c r="CD15" s="610"/>
      <c r="CE15" s="610">
        <f t="shared" si="26"/>
        <v>0.679245283018868</v>
      </c>
      <c r="CF15" s="610">
        <f t="shared" si="27"/>
        <v>0.83333333333333326</v>
      </c>
      <c r="CG15" s="610">
        <f t="shared" si="55"/>
        <v>0.40000000000000013</v>
      </c>
      <c r="CH15" s="610">
        <f t="shared" si="56"/>
        <v>1.272</v>
      </c>
    </row>
    <row r="16" spans="2:86" ht="20.149999999999999" customHeight="1" x14ac:dyDescent="0.2">
      <c r="B16" s="31" t="s">
        <v>202</v>
      </c>
      <c r="C16" s="32" t="s">
        <v>207</v>
      </c>
      <c r="D16" s="33">
        <v>23.1</v>
      </c>
      <c r="E16" s="623">
        <f t="shared" si="28"/>
        <v>1.0999999999999999E-2</v>
      </c>
      <c r="F16" s="291">
        <v>0.09</v>
      </c>
      <c r="G16" s="35">
        <v>8.6</v>
      </c>
      <c r="H16" s="36">
        <v>8.1000000000000003E-2</v>
      </c>
      <c r="I16" s="35">
        <v>3.1</v>
      </c>
      <c r="J16" s="35">
        <v>0.18</v>
      </c>
      <c r="K16" s="35">
        <v>9.1999999999999998E-3</v>
      </c>
      <c r="L16" s="633">
        <f t="shared" si="29"/>
        <v>2.7E-2</v>
      </c>
      <c r="M16" s="263">
        <v>96</v>
      </c>
      <c r="N16" s="264">
        <v>32</v>
      </c>
      <c r="O16" s="264" t="s">
        <v>232</v>
      </c>
      <c r="P16" s="264">
        <v>120</v>
      </c>
      <c r="Q16" s="264">
        <v>24</v>
      </c>
      <c r="R16" s="635">
        <f t="shared" si="36"/>
        <v>0.05</v>
      </c>
      <c r="S16" s="269">
        <v>3</v>
      </c>
      <c r="T16" s="264">
        <v>6.4</v>
      </c>
      <c r="U16" s="264">
        <v>0.75</v>
      </c>
      <c r="V16" s="264">
        <v>5.4</v>
      </c>
      <c r="W16" s="264">
        <v>73</v>
      </c>
      <c r="X16" s="635">
        <f>0.5*0.092</f>
        <v>4.5999999999999999E-2</v>
      </c>
      <c r="Y16" s="635">
        <f>0.5*3.5</f>
        <v>1.75</v>
      </c>
      <c r="Z16" s="264">
        <v>3.3</v>
      </c>
      <c r="AA16" s="264">
        <v>30</v>
      </c>
      <c r="AB16" s="264">
        <v>0.95</v>
      </c>
      <c r="AC16" s="264">
        <v>1.7</v>
      </c>
      <c r="AD16" s="264">
        <v>0.28000000000000003</v>
      </c>
      <c r="AE16" s="264">
        <v>0.39</v>
      </c>
      <c r="AF16" s="264">
        <v>1.2</v>
      </c>
      <c r="AG16" s="635">
        <f t="shared" si="30"/>
        <v>0.05</v>
      </c>
      <c r="AH16" s="264">
        <v>4.0999999999999996</v>
      </c>
      <c r="AI16" s="264">
        <v>0.11</v>
      </c>
      <c r="AJ16" s="635">
        <f>0.5*0.096</f>
        <v>4.8000000000000001E-2</v>
      </c>
      <c r="AK16" s="635">
        <f t="shared" si="31"/>
        <v>0.06</v>
      </c>
      <c r="AL16" s="265">
        <v>0.66</v>
      </c>
      <c r="AM16" s="292">
        <v>0.2</v>
      </c>
      <c r="AN16" s="639">
        <f t="shared" si="32"/>
        <v>0.185</v>
      </c>
      <c r="AO16" s="639">
        <f t="shared" si="33"/>
        <v>7.4999999999999997E-2</v>
      </c>
      <c r="AP16" s="264">
        <v>7.1</v>
      </c>
      <c r="AQ16" s="639">
        <f t="shared" si="34"/>
        <v>0.14000000000000001</v>
      </c>
      <c r="AR16" s="266">
        <v>0.19</v>
      </c>
      <c r="AS16" s="644">
        <f t="shared" si="35"/>
        <v>4.2500000000000003E-2</v>
      </c>
      <c r="AT16" s="267">
        <v>1.1000000000000001</v>
      </c>
      <c r="AU16" s="267">
        <v>0.68</v>
      </c>
      <c r="AV16" s="267">
        <v>0.32</v>
      </c>
      <c r="AW16" s="267">
        <v>2.1</v>
      </c>
      <c r="AX16" s="264">
        <v>2.5</v>
      </c>
      <c r="AY16" s="265">
        <v>1.3</v>
      </c>
      <c r="AZ16" s="265">
        <v>6.2E-2</v>
      </c>
      <c r="BA16" s="265">
        <v>4.2</v>
      </c>
      <c r="BB16" s="265">
        <v>1.8</v>
      </c>
      <c r="BC16" s="266">
        <v>3.7</v>
      </c>
      <c r="BD16" s="619">
        <f t="shared" si="20"/>
        <v>1.0101190476190476</v>
      </c>
      <c r="BE16" s="610">
        <f t="shared" si="21"/>
        <v>0.97888888888888859</v>
      </c>
      <c r="BG16" s="610">
        <f t="shared" si="37"/>
        <v>3.0985915492957747E-4</v>
      </c>
      <c r="BH16" s="610">
        <f t="shared" si="38"/>
        <v>1.4516129032258063E-3</v>
      </c>
      <c r="BI16" s="610">
        <f t="shared" si="39"/>
        <v>0.17916666666666667</v>
      </c>
      <c r="BJ16" s="610">
        <f t="shared" si="40"/>
        <v>3.5217391304347826E-3</v>
      </c>
      <c r="BK16" s="610">
        <f t="shared" si="41"/>
        <v>0.17222222222222222</v>
      </c>
      <c r="BL16" s="610">
        <f t="shared" si="42"/>
        <v>4.6153846153846149E-3</v>
      </c>
      <c r="BM16" s="610">
        <f t="shared" si="43"/>
        <v>7.572016460905349E-4</v>
      </c>
      <c r="BN16" s="610">
        <f t="shared" si="44"/>
        <v>1.3500000000000001E-3</v>
      </c>
      <c r="BO16" s="563">
        <f t="shared" si="22"/>
        <v>180.92813872482205</v>
      </c>
      <c r="BP16" s="563">
        <f t="shared" si="23"/>
        <v>182.46654761413211</v>
      </c>
      <c r="BQ16" s="611">
        <f t="shared" si="24"/>
        <v>0.99156881680819986</v>
      </c>
      <c r="BS16" s="564">
        <f t="shared" si="45"/>
        <v>11.824999999999999</v>
      </c>
      <c r="BT16" s="564">
        <f t="shared" si="46"/>
        <v>0.11609999999999999</v>
      </c>
      <c r="BU16" s="564">
        <f t="shared" si="47"/>
        <v>0.20250000000000001</v>
      </c>
      <c r="BV16" s="564">
        <f t="shared" si="48"/>
        <v>6.7200000000000006</v>
      </c>
      <c r="BW16" s="564">
        <f t="shared" si="49"/>
        <v>1.8</v>
      </c>
      <c r="BX16" s="564">
        <f t="shared" si="50"/>
        <v>0.29408000000000001</v>
      </c>
      <c r="BY16" s="564">
        <f t="shared" si="51"/>
        <v>3.3599999999999998E-2</v>
      </c>
      <c r="BZ16" s="564">
        <f t="shared" si="52"/>
        <v>0.10073999999999998</v>
      </c>
      <c r="CA16" s="564">
        <f t="shared" si="53"/>
        <v>5.0099999999999997E-3</v>
      </c>
      <c r="CB16" s="564">
        <f t="shared" si="25"/>
        <v>21.097029999999997</v>
      </c>
      <c r="CC16" s="611">
        <f t="shared" si="54"/>
        <v>0.91329134199134177</v>
      </c>
      <c r="CD16" s="610"/>
      <c r="CE16" s="610">
        <f t="shared" si="26"/>
        <v>0.70000000000000007</v>
      </c>
      <c r="CF16" s="610">
        <f t="shared" si="27"/>
        <v>0.88095238095238093</v>
      </c>
      <c r="CG16" s="610">
        <f t="shared" si="55"/>
        <v>0.39999999999999991</v>
      </c>
      <c r="CH16" s="610">
        <f t="shared" si="56"/>
        <v>1.3620000000000001</v>
      </c>
    </row>
    <row r="17" spans="2:86" ht="20.149999999999999" customHeight="1" x14ac:dyDescent="0.2">
      <c r="B17" s="31" t="s">
        <v>202</v>
      </c>
      <c r="C17" s="32" t="s">
        <v>208</v>
      </c>
      <c r="D17" s="33">
        <v>38.200000000000003</v>
      </c>
      <c r="E17" s="623">
        <f t="shared" si="28"/>
        <v>1.0999999999999999E-2</v>
      </c>
      <c r="F17" s="35">
        <v>0.16</v>
      </c>
      <c r="G17" s="35">
        <v>17</v>
      </c>
      <c r="H17" s="36">
        <v>0.13</v>
      </c>
      <c r="I17" s="35">
        <v>5.8</v>
      </c>
      <c r="J17" s="35">
        <v>0.95</v>
      </c>
      <c r="K17" s="35">
        <v>7.5999999999999998E-2</v>
      </c>
      <c r="L17" s="633">
        <f t="shared" si="29"/>
        <v>2.7E-2</v>
      </c>
      <c r="M17" s="263">
        <v>150</v>
      </c>
      <c r="N17" s="264">
        <v>120</v>
      </c>
      <c r="O17" s="264" t="s">
        <v>232</v>
      </c>
      <c r="P17" s="264">
        <v>900</v>
      </c>
      <c r="Q17" s="264">
        <v>65</v>
      </c>
      <c r="R17" s="635">
        <f t="shared" si="36"/>
        <v>0.05</v>
      </c>
      <c r="S17" s="264">
        <v>7.1</v>
      </c>
      <c r="T17" s="264">
        <v>16</v>
      </c>
      <c r="U17" s="264">
        <v>2.5</v>
      </c>
      <c r="V17" s="269">
        <v>8</v>
      </c>
      <c r="W17" s="264">
        <v>120</v>
      </c>
      <c r="X17" s="264">
        <v>0.11</v>
      </c>
      <c r="Y17" s="264">
        <v>4.9000000000000004</v>
      </c>
      <c r="Z17" s="264">
        <v>22</v>
      </c>
      <c r="AA17" s="264">
        <v>50</v>
      </c>
      <c r="AB17" s="264">
        <v>2.6</v>
      </c>
      <c r="AC17" s="264">
        <v>2.6</v>
      </c>
      <c r="AD17" s="264">
        <v>0.62</v>
      </c>
      <c r="AE17" s="264">
        <v>0.67</v>
      </c>
      <c r="AF17" s="269">
        <v>7</v>
      </c>
      <c r="AG17" s="635">
        <f t="shared" si="30"/>
        <v>0.05</v>
      </c>
      <c r="AH17" s="264">
        <v>46</v>
      </c>
      <c r="AI17" s="264">
        <v>0.18</v>
      </c>
      <c r="AJ17" s="264">
        <v>0.18</v>
      </c>
      <c r="AK17" s="635">
        <f t="shared" si="31"/>
        <v>0.06</v>
      </c>
      <c r="AL17" s="639">
        <f>0.5*0.33</f>
        <v>0.16500000000000001</v>
      </c>
      <c r="AM17" s="292">
        <v>0.3</v>
      </c>
      <c r="AN17" s="639">
        <f t="shared" si="32"/>
        <v>0.185</v>
      </c>
      <c r="AO17" s="639">
        <f t="shared" si="33"/>
        <v>7.4999999999999997E-2</v>
      </c>
      <c r="AP17" s="264">
        <v>16</v>
      </c>
      <c r="AQ17" s="639">
        <f t="shared" si="34"/>
        <v>0.14000000000000001</v>
      </c>
      <c r="AR17" s="266">
        <v>0.68</v>
      </c>
      <c r="AS17" s="644">
        <f t="shared" si="35"/>
        <v>4.2500000000000003E-2</v>
      </c>
      <c r="AT17" s="267">
        <v>1.3</v>
      </c>
      <c r="AU17" s="267">
        <v>0.78</v>
      </c>
      <c r="AV17" s="267">
        <v>0.36</v>
      </c>
      <c r="AW17" s="267">
        <v>2.4</v>
      </c>
      <c r="AX17" s="264">
        <v>3.4</v>
      </c>
      <c r="AY17" s="265">
        <v>0.95</v>
      </c>
      <c r="AZ17" s="639">
        <f>0.5*0.022</f>
        <v>1.0999999999999999E-2</v>
      </c>
      <c r="BA17" s="265">
        <v>4.8</v>
      </c>
      <c r="BB17" s="272">
        <v>2</v>
      </c>
      <c r="BC17" s="266">
        <v>4.5</v>
      </c>
      <c r="BD17" s="619">
        <f t="shared" si="20"/>
        <v>1.0171875000000001</v>
      </c>
      <c r="BE17" s="610">
        <f t="shared" si="21"/>
        <v>0.98049999999999993</v>
      </c>
      <c r="BG17" s="610">
        <f t="shared" si="37"/>
        <v>3.0985915492957747E-4</v>
      </c>
      <c r="BH17" s="610">
        <f t="shared" si="38"/>
        <v>2.5806451612903226E-3</v>
      </c>
      <c r="BI17" s="610">
        <f t="shared" si="39"/>
        <v>0.35416666666666669</v>
      </c>
      <c r="BJ17" s="610">
        <f t="shared" si="40"/>
        <v>5.6521739130434784E-3</v>
      </c>
      <c r="BK17" s="610">
        <f t="shared" si="41"/>
        <v>0.32222222222222219</v>
      </c>
      <c r="BL17" s="610">
        <f t="shared" si="42"/>
        <v>2.4358974358974359E-2</v>
      </c>
      <c r="BM17" s="610">
        <f t="shared" si="43"/>
        <v>6.2551440329218101E-3</v>
      </c>
      <c r="BN17" s="610">
        <f t="shared" si="44"/>
        <v>1.3500000000000001E-3</v>
      </c>
      <c r="BO17" s="563">
        <f t="shared" si="22"/>
        <v>357.05717098288659</v>
      </c>
      <c r="BP17" s="563">
        <f t="shared" si="23"/>
        <v>359.83851452716186</v>
      </c>
      <c r="BQ17" s="611">
        <f t="shared" si="24"/>
        <v>0.99227057851789424</v>
      </c>
      <c r="BS17" s="564">
        <f t="shared" si="45"/>
        <v>23.375</v>
      </c>
      <c r="BT17" s="564">
        <f t="shared" si="46"/>
        <v>0.2064</v>
      </c>
      <c r="BU17" s="564">
        <f t="shared" si="47"/>
        <v>0.32500000000000001</v>
      </c>
      <c r="BV17" s="564">
        <f t="shared" si="48"/>
        <v>7.68</v>
      </c>
      <c r="BW17" s="564">
        <f t="shared" si="49"/>
        <v>2</v>
      </c>
      <c r="BX17" s="564">
        <f t="shared" si="50"/>
        <v>1.1028</v>
      </c>
      <c r="BY17" s="564">
        <f t="shared" si="51"/>
        <v>9.0999999999999998E-2</v>
      </c>
      <c r="BZ17" s="564">
        <f t="shared" si="52"/>
        <v>0.16559999999999997</v>
      </c>
      <c r="CA17" s="564">
        <f t="shared" si="53"/>
        <v>1.1856999999999999E-2</v>
      </c>
      <c r="CB17" s="564">
        <f t="shared" si="25"/>
        <v>34.957656999999998</v>
      </c>
      <c r="CC17" s="611">
        <f t="shared" si="54"/>
        <v>0.91512191099476425</v>
      </c>
      <c r="CD17" s="610"/>
      <c r="CE17" s="610">
        <f t="shared" si="26"/>
        <v>0.70588235294117652</v>
      </c>
      <c r="CF17" s="610">
        <f t="shared" si="27"/>
        <v>0.9375</v>
      </c>
      <c r="CG17" s="610">
        <f t="shared" si="55"/>
        <v>1</v>
      </c>
      <c r="CH17" s="610">
        <f t="shared" si="56"/>
        <v>0.96099999999999997</v>
      </c>
    </row>
    <row r="18" spans="2:86" ht="20.149999999999999" customHeight="1" thickBot="1" x14ac:dyDescent="0.25">
      <c r="B18" s="39" t="s">
        <v>202</v>
      </c>
      <c r="C18" s="45" t="s">
        <v>209</v>
      </c>
      <c r="D18" s="41">
        <v>25.1</v>
      </c>
      <c r="E18" s="631">
        <f t="shared" si="28"/>
        <v>1.0999999999999999E-2</v>
      </c>
      <c r="F18" s="43">
        <v>9.1999999999999998E-2</v>
      </c>
      <c r="G18" s="43">
        <v>9.9</v>
      </c>
      <c r="H18" s="44">
        <v>5.8000000000000003E-2</v>
      </c>
      <c r="I18" s="43">
        <v>3.4</v>
      </c>
      <c r="J18" s="293">
        <v>0.2</v>
      </c>
      <c r="K18" s="43">
        <v>1.4999999999999999E-2</v>
      </c>
      <c r="L18" s="634">
        <f t="shared" si="29"/>
        <v>2.7E-2</v>
      </c>
      <c r="M18" s="273">
        <v>65</v>
      </c>
      <c r="N18" s="274">
        <v>45</v>
      </c>
      <c r="O18" s="274" t="s">
        <v>232</v>
      </c>
      <c r="P18" s="274">
        <v>230</v>
      </c>
      <c r="Q18" s="274">
        <v>33</v>
      </c>
      <c r="R18" s="636">
        <f t="shared" si="36"/>
        <v>0.05</v>
      </c>
      <c r="S18" s="274">
        <v>4.5999999999999996</v>
      </c>
      <c r="T18" s="274">
        <v>5.3</v>
      </c>
      <c r="U18" s="274">
        <v>0.65</v>
      </c>
      <c r="V18" s="274">
        <v>4.3</v>
      </c>
      <c r="W18" s="274">
        <v>100</v>
      </c>
      <c r="X18" s="636">
        <f>0.5*0.092</f>
        <v>4.5999999999999999E-2</v>
      </c>
      <c r="Y18" s="636">
        <f>0.5*3.5</f>
        <v>1.75</v>
      </c>
      <c r="Z18" s="274">
        <v>6.6</v>
      </c>
      <c r="AA18" s="274">
        <v>120</v>
      </c>
      <c r="AB18" s="274">
        <v>1.4</v>
      </c>
      <c r="AC18" s="274">
        <v>3.3</v>
      </c>
      <c r="AD18" s="274">
        <v>0.28000000000000003</v>
      </c>
      <c r="AE18" s="274">
        <v>0.43</v>
      </c>
      <c r="AF18" s="274">
        <v>1.6</v>
      </c>
      <c r="AG18" s="636">
        <f t="shared" si="30"/>
        <v>0.05</v>
      </c>
      <c r="AH18" s="274">
        <v>9.4</v>
      </c>
      <c r="AI18" s="636">
        <f>0.5*0.092</f>
        <v>4.5999999999999999E-2</v>
      </c>
      <c r="AJ18" s="636">
        <f>0.5*0.096</f>
        <v>4.8000000000000001E-2</v>
      </c>
      <c r="AK18" s="636">
        <f t="shared" si="31"/>
        <v>0.06</v>
      </c>
      <c r="AL18" s="640">
        <f>0.5*0.33</f>
        <v>0.16500000000000001</v>
      </c>
      <c r="AM18" s="640">
        <f>0.5*0.12</f>
        <v>0.06</v>
      </c>
      <c r="AN18" s="640">
        <f t="shared" si="32"/>
        <v>0.185</v>
      </c>
      <c r="AO18" s="640">
        <f t="shared" si="33"/>
        <v>7.4999999999999997E-2</v>
      </c>
      <c r="AP18" s="274">
        <v>6.9</v>
      </c>
      <c r="AQ18" s="640">
        <f t="shared" si="34"/>
        <v>0.14000000000000001</v>
      </c>
      <c r="AR18" s="278">
        <v>0.19</v>
      </c>
      <c r="AS18" s="645">
        <f t="shared" si="35"/>
        <v>4.2500000000000003E-2</v>
      </c>
      <c r="AT18" s="279">
        <v>1.1000000000000001</v>
      </c>
      <c r="AU18" s="279">
        <v>0.59</v>
      </c>
      <c r="AV18" s="279">
        <v>0.31</v>
      </c>
      <c r="AW18" s="279">
        <v>3.3</v>
      </c>
      <c r="AX18" s="274">
        <v>2.1</v>
      </c>
      <c r="AY18" s="277">
        <v>1.3</v>
      </c>
      <c r="AZ18" s="294">
        <v>0.06</v>
      </c>
      <c r="BA18" s="277">
        <v>5.3</v>
      </c>
      <c r="BB18" s="277">
        <v>0.16</v>
      </c>
      <c r="BC18" s="295">
        <v>4</v>
      </c>
      <c r="BD18" s="620">
        <f t="shared" si="20"/>
        <v>1.0080188679245281</v>
      </c>
      <c r="BE18" s="617">
        <f t="shared" si="21"/>
        <v>1.0000000000000036</v>
      </c>
      <c r="BF18" s="616"/>
      <c r="BG18" s="617">
        <f t="shared" si="37"/>
        <v>3.0985915492957747E-4</v>
      </c>
      <c r="BH18" s="617">
        <f t="shared" si="38"/>
        <v>1.4838709677419354E-3</v>
      </c>
      <c r="BI18" s="617">
        <f t="shared" si="39"/>
        <v>0.20625000000000002</v>
      </c>
      <c r="BJ18" s="617">
        <f t="shared" si="40"/>
        <v>2.5217391304347826E-3</v>
      </c>
      <c r="BK18" s="617">
        <f t="shared" si="41"/>
        <v>0.18888888888888888</v>
      </c>
      <c r="BL18" s="617">
        <f t="shared" si="42"/>
        <v>5.1282051282051282E-3</v>
      </c>
      <c r="BM18" s="617">
        <f t="shared" si="43"/>
        <v>1.2345679012345679E-3</v>
      </c>
      <c r="BN18" s="617">
        <f t="shared" si="44"/>
        <v>1.3500000000000001E-3</v>
      </c>
      <c r="BO18" s="621">
        <f t="shared" si="22"/>
        <v>208.04373012267152</v>
      </c>
      <c r="BP18" s="621">
        <f t="shared" si="23"/>
        <v>199.12340104876336</v>
      </c>
      <c r="BQ18" s="618">
        <f t="shared" si="24"/>
        <v>1.0447979947455983</v>
      </c>
      <c r="BR18" s="616"/>
      <c r="BS18" s="615">
        <f t="shared" si="45"/>
        <v>13.612500000000001</v>
      </c>
      <c r="BT18" s="615">
        <f t="shared" si="46"/>
        <v>0.11868000000000001</v>
      </c>
      <c r="BU18" s="615">
        <f t="shared" si="47"/>
        <v>0.14500000000000002</v>
      </c>
      <c r="BV18" s="615">
        <f t="shared" si="48"/>
        <v>8.48</v>
      </c>
      <c r="BW18" s="615">
        <f t="shared" si="49"/>
        <v>0.16</v>
      </c>
      <c r="BX18" s="615">
        <f t="shared" si="50"/>
        <v>0.41355000000000003</v>
      </c>
      <c r="BY18" s="615">
        <f t="shared" si="51"/>
        <v>4.6199999999999998E-2</v>
      </c>
      <c r="BZ18" s="615">
        <f t="shared" si="52"/>
        <v>0.13799999999999998</v>
      </c>
      <c r="CA18" s="615">
        <f t="shared" si="53"/>
        <v>7.6819999999999996E-3</v>
      </c>
      <c r="CB18" s="615">
        <f t="shared" si="25"/>
        <v>23.121612000000002</v>
      </c>
      <c r="CC18" s="618">
        <f t="shared" si="54"/>
        <v>0.92117976095617538</v>
      </c>
      <c r="CD18" s="617"/>
      <c r="CE18" s="617">
        <f t="shared" si="26"/>
        <v>0.97069597069597069</v>
      </c>
      <c r="CF18" s="617">
        <f t="shared" si="27"/>
        <v>0.75471698113207553</v>
      </c>
      <c r="CG18" s="617">
        <f t="shared" si="55"/>
        <v>0</v>
      </c>
      <c r="CH18" s="617">
        <f t="shared" si="56"/>
        <v>0.16000000000000059</v>
      </c>
    </row>
    <row r="19" spans="2:86" ht="20.149999999999999" customHeight="1" x14ac:dyDescent="0.2">
      <c r="B19" s="31" t="s">
        <v>61</v>
      </c>
      <c r="C19" s="46" t="s">
        <v>92</v>
      </c>
      <c r="D19" s="47">
        <v>31.9</v>
      </c>
      <c r="E19" s="48" t="s">
        <v>230</v>
      </c>
      <c r="F19" s="281">
        <v>0.1</v>
      </c>
      <c r="G19" s="49">
        <v>15</v>
      </c>
      <c r="H19" s="50">
        <v>9.1999999999999998E-2</v>
      </c>
      <c r="I19" s="49">
        <v>5.2</v>
      </c>
      <c r="J19" s="49">
        <v>0.12</v>
      </c>
      <c r="K19" s="49">
        <v>1.4E-2</v>
      </c>
      <c r="L19" s="37" t="s">
        <v>223</v>
      </c>
      <c r="M19" s="282">
        <v>110</v>
      </c>
      <c r="N19" s="283">
        <v>49</v>
      </c>
      <c r="O19" s="283" t="s">
        <v>232</v>
      </c>
      <c r="P19" s="283">
        <v>130</v>
      </c>
      <c r="Q19" s="283">
        <v>53</v>
      </c>
      <c r="R19" s="283" t="s">
        <v>219</v>
      </c>
      <c r="S19" s="283">
        <v>3.1</v>
      </c>
      <c r="T19" s="283">
        <v>6.5</v>
      </c>
      <c r="U19" s="283">
        <v>0.84</v>
      </c>
      <c r="V19" s="283">
        <v>5.6</v>
      </c>
      <c r="W19" s="283">
        <v>88</v>
      </c>
      <c r="X19" s="283" t="s">
        <v>238</v>
      </c>
      <c r="Y19" s="283" t="s">
        <v>239</v>
      </c>
      <c r="Z19" s="283">
        <v>4.3</v>
      </c>
      <c r="AA19" s="283">
        <v>47</v>
      </c>
      <c r="AB19" s="283">
        <v>1.7</v>
      </c>
      <c r="AC19" s="283">
        <v>2.4</v>
      </c>
      <c r="AD19" s="283">
        <v>0.37</v>
      </c>
      <c r="AE19" s="283">
        <v>0.41</v>
      </c>
      <c r="AF19" s="283">
        <v>1.2</v>
      </c>
      <c r="AG19" s="283" t="s">
        <v>219</v>
      </c>
      <c r="AH19" s="283">
        <v>3.3</v>
      </c>
      <c r="AI19" s="283" t="s">
        <v>238</v>
      </c>
      <c r="AJ19" s="283">
        <v>0.11</v>
      </c>
      <c r="AK19" s="283" t="s">
        <v>66</v>
      </c>
      <c r="AL19" s="285" t="s">
        <v>241</v>
      </c>
      <c r="AM19" s="285">
        <v>0.26</v>
      </c>
      <c r="AN19" s="285" t="s">
        <v>244</v>
      </c>
      <c r="AO19" s="285" t="s">
        <v>220</v>
      </c>
      <c r="AP19" s="283">
        <v>10</v>
      </c>
      <c r="AQ19" s="285" t="s">
        <v>245</v>
      </c>
      <c r="AR19" s="296">
        <v>0.3</v>
      </c>
      <c r="AS19" s="282" t="s">
        <v>247</v>
      </c>
      <c r="AT19" s="297">
        <v>1</v>
      </c>
      <c r="AU19" s="287">
        <v>0.55000000000000004</v>
      </c>
      <c r="AV19" s="287">
        <v>0.28999999999999998</v>
      </c>
      <c r="AW19" s="287">
        <v>1.9</v>
      </c>
      <c r="AX19" s="283">
        <v>2.2999999999999998</v>
      </c>
      <c r="AY19" s="285">
        <v>1.3</v>
      </c>
      <c r="AZ19" s="285">
        <v>7.9000000000000001E-2</v>
      </c>
      <c r="BA19" s="285">
        <v>3.7</v>
      </c>
      <c r="BB19" s="285">
        <v>1.8</v>
      </c>
      <c r="BC19" s="286">
        <v>4.3</v>
      </c>
      <c r="BD19" s="619">
        <f t="shared" si="20"/>
        <v>1.0108108108108109</v>
      </c>
      <c r="BE19" s="610">
        <f t="shared" si="21"/>
        <v>0.98833333333333329</v>
      </c>
      <c r="BG19" s="610" t="e">
        <f t="shared" si="37"/>
        <v>#VALUE!</v>
      </c>
      <c r="BH19" s="610">
        <f t="shared" si="38"/>
        <v>1.6129032258064516E-3</v>
      </c>
      <c r="BI19" s="610">
        <f t="shared" si="39"/>
        <v>0.3125</v>
      </c>
      <c r="BJ19" s="610">
        <f t="shared" si="40"/>
        <v>4.0000000000000001E-3</v>
      </c>
      <c r="BK19" s="610">
        <f t="shared" si="41"/>
        <v>0.28888888888888892</v>
      </c>
      <c r="BL19" s="610">
        <f t="shared" si="42"/>
        <v>3.0769230769230769E-3</v>
      </c>
      <c r="BM19" s="610">
        <f t="shared" si="43"/>
        <v>1.1522633744855968E-3</v>
      </c>
      <c r="BN19" s="610" t="e">
        <f t="shared" si="44"/>
        <v>#VALUE!</v>
      </c>
      <c r="BO19" s="563" t="e">
        <f t="shared" si="22"/>
        <v>#VALUE!</v>
      </c>
      <c r="BP19" s="563" t="e">
        <f t="shared" si="23"/>
        <v>#VALUE!</v>
      </c>
      <c r="BQ19" s="611" t="e">
        <f t="shared" si="24"/>
        <v>#VALUE!</v>
      </c>
      <c r="BS19" s="564">
        <f t="shared" si="45"/>
        <v>20.625</v>
      </c>
      <c r="BT19" s="564">
        <f t="shared" si="46"/>
        <v>0.129</v>
      </c>
      <c r="BU19" s="564">
        <f t="shared" si="47"/>
        <v>0.22999999999999998</v>
      </c>
      <c r="BV19" s="564">
        <f t="shared" si="48"/>
        <v>5.9200000000000008</v>
      </c>
      <c r="BW19" s="564">
        <f t="shared" si="49"/>
        <v>1.8</v>
      </c>
      <c r="BX19" s="564">
        <f t="shared" si="50"/>
        <v>0.45030999999999999</v>
      </c>
      <c r="BY19" s="564">
        <f t="shared" si="51"/>
        <v>7.4199999999999988E-2</v>
      </c>
      <c r="BZ19" s="564">
        <f t="shared" si="52"/>
        <v>0.12143999999999998</v>
      </c>
      <c r="CA19" s="564">
        <f t="shared" si="53"/>
        <v>5.1769999999999993E-3</v>
      </c>
      <c r="CB19" s="564">
        <f t="shared" si="25"/>
        <v>29.355127000000003</v>
      </c>
      <c r="CC19" s="611">
        <f t="shared" si="54"/>
        <v>0.92022341692789977</v>
      </c>
      <c r="CD19" s="610"/>
      <c r="CE19" s="610">
        <f t="shared" si="26"/>
        <v>0.67272727272727273</v>
      </c>
      <c r="CF19" s="610">
        <f t="shared" si="27"/>
        <v>1.1621621621621621</v>
      </c>
      <c r="CG19" s="610">
        <f t="shared" si="55"/>
        <v>0.39999999999999991</v>
      </c>
      <c r="CH19" s="610">
        <f t="shared" si="56"/>
        <v>1.379</v>
      </c>
    </row>
    <row r="20" spans="2:86" ht="20.149999999999999" customHeight="1" x14ac:dyDescent="0.2">
      <c r="B20" s="21" t="s">
        <v>61</v>
      </c>
      <c r="C20" s="52" t="s">
        <v>210</v>
      </c>
      <c r="D20" s="53">
        <v>19</v>
      </c>
      <c r="E20" s="54" t="s">
        <v>230</v>
      </c>
      <c r="F20" s="55">
        <v>0.12</v>
      </c>
      <c r="G20" s="55">
        <v>8.1999999999999993</v>
      </c>
      <c r="H20" s="56">
        <v>0.11</v>
      </c>
      <c r="I20" s="55">
        <v>2.8</v>
      </c>
      <c r="J20" s="55">
        <v>0.12</v>
      </c>
      <c r="K20" s="55">
        <v>1.6E-2</v>
      </c>
      <c r="L20" s="52" t="s">
        <v>223</v>
      </c>
      <c r="M20" s="298">
        <v>93</v>
      </c>
      <c r="N20" s="299">
        <v>37</v>
      </c>
      <c r="O20" s="299" t="s">
        <v>232</v>
      </c>
      <c r="P20" s="299">
        <v>120</v>
      </c>
      <c r="Q20" s="299">
        <v>35</v>
      </c>
      <c r="R20" s="299" t="s">
        <v>219</v>
      </c>
      <c r="S20" s="299">
        <v>1.9</v>
      </c>
      <c r="T20" s="299">
        <v>6.4</v>
      </c>
      <c r="U20" s="299">
        <v>0.78</v>
      </c>
      <c r="V20" s="299">
        <v>4.9000000000000004</v>
      </c>
      <c r="W20" s="299">
        <v>73</v>
      </c>
      <c r="X20" s="299" t="s">
        <v>238</v>
      </c>
      <c r="Y20" s="299" t="s">
        <v>239</v>
      </c>
      <c r="Z20" s="299">
        <v>3.4</v>
      </c>
      <c r="AA20" s="299">
        <v>28</v>
      </c>
      <c r="AB20" s="299">
        <v>0.88</v>
      </c>
      <c r="AC20" s="299">
        <v>0.89</v>
      </c>
      <c r="AD20" s="299">
        <v>0.24</v>
      </c>
      <c r="AE20" s="299">
        <v>0.37</v>
      </c>
      <c r="AF20" s="300">
        <v>1</v>
      </c>
      <c r="AG20" s="299" t="s">
        <v>219</v>
      </c>
      <c r="AH20" s="299">
        <v>5.7</v>
      </c>
      <c r="AI20" s="299" t="s">
        <v>238</v>
      </c>
      <c r="AJ20" s="299">
        <v>0.11</v>
      </c>
      <c r="AK20" s="299" t="s">
        <v>66</v>
      </c>
      <c r="AL20" s="301" t="s">
        <v>241</v>
      </c>
      <c r="AM20" s="301" t="s">
        <v>66</v>
      </c>
      <c r="AN20" s="301" t="s">
        <v>244</v>
      </c>
      <c r="AO20" s="301" t="s">
        <v>220</v>
      </c>
      <c r="AP20" s="299">
        <v>5.9</v>
      </c>
      <c r="AQ20" s="301" t="s">
        <v>245</v>
      </c>
      <c r="AR20" s="302">
        <v>0.14000000000000001</v>
      </c>
      <c r="AS20" s="298" t="s">
        <v>247</v>
      </c>
      <c r="AT20" s="303">
        <v>0.79</v>
      </c>
      <c r="AU20" s="303">
        <v>0.48</v>
      </c>
      <c r="AV20" s="303">
        <v>0.23</v>
      </c>
      <c r="AW20" s="303">
        <v>1.4</v>
      </c>
      <c r="AX20" s="299">
        <v>1.6</v>
      </c>
      <c r="AY20" s="301">
        <v>1</v>
      </c>
      <c r="AZ20" s="301">
        <v>4.4999999999999998E-2</v>
      </c>
      <c r="BA20" s="301">
        <v>2.9</v>
      </c>
      <c r="BB20" s="301">
        <v>1.2</v>
      </c>
      <c r="BC20" s="304">
        <v>3</v>
      </c>
      <c r="BD20" s="619">
        <f t="shared" si="20"/>
        <v>1</v>
      </c>
      <c r="BE20" s="610">
        <f t="shared" si="21"/>
        <v>1.0375000000000001</v>
      </c>
      <c r="BG20" s="610" t="e">
        <f t="shared" si="37"/>
        <v>#VALUE!</v>
      </c>
      <c r="BH20" s="610">
        <f t="shared" si="38"/>
        <v>1.9354838709677419E-3</v>
      </c>
      <c r="BI20" s="610">
        <f t="shared" si="39"/>
        <v>0.17083333333333331</v>
      </c>
      <c r="BJ20" s="610">
        <f t="shared" si="40"/>
        <v>4.7826086956521737E-3</v>
      </c>
      <c r="BK20" s="610">
        <f t="shared" si="41"/>
        <v>0.15555555555555556</v>
      </c>
      <c r="BL20" s="610">
        <f t="shared" si="42"/>
        <v>3.0769230769230769E-3</v>
      </c>
      <c r="BM20" s="610">
        <f t="shared" si="43"/>
        <v>1.316872427983539E-3</v>
      </c>
      <c r="BN20" s="610" t="e">
        <f t="shared" si="44"/>
        <v>#VALUE!</v>
      </c>
      <c r="BO20" s="563" t="e">
        <f t="shared" si="22"/>
        <v>#VALUE!</v>
      </c>
      <c r="BP20" s="563" t="e">
        <f t="shared" si="23"/>
        <v>#VALUE!</v>
      </c>
      <c r="BQ20" s="611" t="e">
        <f t="shared" si="24"/>
        <v>#VALUE!</v>
      </c>
      <c r="BS20" s="564">
        <f t="shared" si="45"/>
        <v>11.274999999999999</v>
      </c>
      <c r="BT20" s="564">
        <f t="shared" si="46"/>
        <v>0.15479999999999999</v>
      </c>
      <c r="BU20" s="564">
        <f t="shared" si="47"/>
        <v>0.27500000000000002</v>
      </c>
      <c r="BV20" s="564">
        <f t="shared" si="48"/>
        <v>4.6399999999999997</v>
      </c>
      <c r="BW20" s="564">
        <f t="shared" si="49"/>
        <v>1.2</v>
      </c>
      <c r="BX20" s="564">
        <f t="shared" si="50"/>
        <v>0.34003</v>
      </c>
      <c r="BY20" s="564">
        <f t="shared" si="51"/>
        <v>4.9000000000000002E-2</v>
      </c>
      <c r="BZ20" s="564">
        <f t="shared" si="52"/>
        <v>0.10073999999999998</v>
      </c>
      <c r="CA20" s="564">
        <f t="shared" si="53"/>
        <v>3.173E-3</v>
      </c>
      <c r="CB20" s="564">
        <f t="shared" si="25"/>
        <v>18.037742999999995</v>
      </c>
      <c r="CC20" s="611">
        <f t="shared" si="54"/>
        <v>0.94935489473684187</v>
      </c>
      <c r="CE20" s="610">
        <f t="shared" si="26"/>
        <v>0.70731707317073178</v>
      </c>
      <c r="CF20" s="610">
        <f t="shared" si="27"/>
        <v>1.0344827586206897</v>
      </c>
      <c r="CG20" s="610">
        <f t="shared" si="55"/>
        <v>0.20000000000000018</v>
      </c>
      <c r="CH20" s="610">
        <f t="shared" si="56"/>
        <v>1.0449999999999999</v>
      </c>
    </row>
    <row r="21" spans="2:86" s="542" customFormat="1" ht="20.149999999999999" customHeight="1" x14ac:dyDescent="0.2">
      <c r="B21" s="538"/>
      <c r="C21" s="539" t="s">
        <v>591</v>
      </c>
      <c r="D21" s="540">
        <f>AVERAGE(D12:D18)</f>
        <v>23.528571428571432</v>
      </c>
      <c r="E21" s="541">
        <f t="shared" ref="E21:BB21" si="57">AVERAGE(E12:E18)</f>
        <v>1.0999999999999998E-2</v>
      </c>
      <c r="F21" s="541">
        <f t="shared" si="57"/>
        <v>0.15714285714285717</v>
      </c>
      <c r="G21" s="540">
        <f t="shared" si="57"/>
        <v>8.7571428571428562</v>
      </c>
      <c r="H21" s="541">
        <f t="shared" si="57"/>
        <v>0.113</v>
      </c>
      <c r="I21" s="540">
        <f t="shared" si="57"/>
        <v>3.1</v>
      </c>
      <c r="J21" s="541">
        <f t="shared" si="57"/>
        <v>0.22185714285714284</v>
      </c>
      <c r="K21" s="541">
        <f t="shared" si="57"/>
        <v>2.1914285714285713E-2</v>
      </c>
      <c r="L21" s="541">
        <f t="shared" si="57"/>
        <v>2.7E-2</v>
      </c>
      <c r="M21" s="540">
        <f t="shared" si="57"/>
        <v>127.85714285714286</v>
      </c>
      <c r="N21" s="540">
        <f t="shared" si="57"/>
        <v>42.714285714285715</v>
      </c>
      <c r="O21" s="540" t="e">
        <f t="shared" si="57"/>
        <v>#DIV/0!</v>
      </c>
      <c r="P21" s="540">
        <f t="shared" si="57"/>
        <v>221.28571428571428</v>
      </c>
      <c r="Q21" s="540">
        <f t="shared" si="57"/>
        <v>33.428571428571431</v>
      </c>
      <c r="R21" s="540">
        <f t="shared" si="57"/>
        <v>5.8571428571428566E-2</v>
      </c>
      <c r="S21" s="540">
        <f t="shared" si="57"/>
        <v>3.6785714285714284</v>
      </c>
      <c r="T21" s="540">
        <f t="shared" si="57"/>
        <v>6.0428571428571427</v>
      </c>
      <c r="U21" s="540">
        <f t="shared" si="57"/>
        <v>0.72071428571428575</v>
      </c>
      <c r="V21" s="540">
        <f t="shared" si="57"/>
        <v>3.9857142857142862</v>
      </c>
      <c r="W21" s="540">
        <f t="shared" si="57"/>
        <v>71.357142857142861</v>
      </c>
      <c r="X21" s="540">
        <f t="shared" si="57"/>
        <v>5.5142857142857139E-2</v>
      </c>
      <c r="Y21" s="540">
        <f t="shared" si="57"/>
        <v>2.2000000000000002</v>
      </c>
      <c r="Z21" s="540">
        <f t="shared" si="57"/>
        <v>6.1285714285714281</v>
      </c>
      <c r="AA21" s="540">
        <f t="shared" si="57"/>
        <v>37.357142857142854</v>
      </c>
      <c r="AB21" s="540">
        <f t="shared" si="57"/>
        <v>1.1657142857142857</v>
      </c>
      <c r="AC21" s="541">
        <f t="shared" si="57"/>
        <v>1.945714285714286</v>
      </c>
      <c r="AD21" s="541">
        <f t="shared" si="57"/>
        <v>0.26428571428571435</v>
      </c>
      <c r="AE21" s="541">
        <f t="shared" si="57"/>
        <v>0.34285714285714286</v>
      </c>
      <c r="AF21" s="541">
        <f t="shared" si="57"/>
        <v>1.8557142857142856</v>
      </c>
      <c r="AG21" s="541">
        <f t="shared" si="57"/>
        <v>4.9999999999999996E-2</v>
      </c>
      <c r="AH21" s="541">
        <f t="shared" si="57"/>
        <v>9.8571428571428577</v>
      </c>
      <c r="AI21" s="541">
        <f t="shared" si="57"/>
        <v>7.4285714285714288E-2</v>
      </c>
      <c r="AJ21" s="541">
        <f t="shared" si="57"/>
        <v>6.6857142857142851E-2</v>
      </c>
      <c r="AK21" s="541">
        <f t="shared" si="57"/>
        <v>0.06</v>
      </c>
      <c r="AL21" s="541">
        <f t="shared" si="57"/>
        <v>0.23571428571428574</v>
      </c>
      <c r="AM21" s="541">
        <f t="shared" si="57"/>
        <v>0.32857142857142863</v>
      </c>
      <c r="AN21" s="541">
        <f t="shared" si="57"/>
        <v>0.18500000000000003</v>
      </c>
      <c r="AO21" s="541">
        <f t="shared" si="57"/>
        <v>7.4999999999999997E-2</v>
      </c>
      <c r="AP21" s="541">
        <f t="shared" si="57"/>
        <v>6.8142857142857149</v>
      </c>
      <c r="AQ21" s="541">
        <f t="shared" si="57"/>
        <v>0.14000000000000001</v>
      </c>
      <c r="AR21" s="540">
        <f t="shared" si="57"/>
        <v>0.22999999999999998</v>
      </c>
      <c r="AS21" s="540">
        <f t="shared" si="57"/>
        <v>4.2499999999999996E-2</v>
      </c>
      <c r="AT21" s="540">
        <f t="shared" si="57"/>
        <v>1.0885714285714287</v>
      </c>
      <c r="AU21" s="540">
        <f t="shared" si="57"/>
        <v>0.68285714285714294</v>
      </c>
      <c r="AV21" s="540">
        <f t="shared" si="57"/>
        <v>0.34285714285714292</v>
      </c>
      <c r="AW21" s="540">
        <f t="shared" si="57"/>
        <v>2.1714285714285713</v>
      </c>
      <c r="AX21" s="540">
        <f t="shared" si="57"/>
        <v>2.3285714285714287</v>
      </c>
      <c r="AY21" s="540">
        <f t="shared" si="57"/>
        <v>1.172857142857143</v>
      </c>
      <c r="AZ21" s="540">
        <f t="shared" si="57"/>
        <v>5.2428571428571429E-2</v>
      </c>
      <c r="BA21" s="540">
        <f t="shared" si="57"/>
        <v>4.2857142857142856</v>
      </c>
      <c r="BB21" s="540">
        <f t="shared" si="57"/>
        <v>1.3942857142857144</v>
      </c>
      <c r="BC21" s="540">
        <f>AVERAGE(BC12:BC18)</f>
        <v>3.9142857142857141</v>
      </c>
      <c r="CE21" s="691">
        <f>AVERAGE(CE12:CE18)</f>
        <v>0.75653255738676706</v>
      </c>
      <c r="CF21" s="691">
        <f>AVERAGE(CF12:CF18)</f>
        <v>0.91325735757045601</v>
      </c>
      <c r="CG21" s="691">
        <f>AVERAGE(CG12:CG18)</f>
        <v>0.32857142857142863</v>
      </c>
      <c r="CH21" s="691">
        <f>AVERAGE(CH12:CH18)</f>
        <v>1.053857142857143</v>
      </c>
    </row>
    <row r="22" spans="2:86" s="542" customFormat="1" ht="18.75" customHeight="1" x14ac:dyDescent="0.2">
      <c r="B22" s="543"/>
      <c r="C22" s="543" t="s">
        <v>592</v>
      </c>
      <c r="D22" s="544">
        <f>AVERAGE(D7:D20)</f>
        <v>20.178571428571427</v>
      </c>
      <c r="E22" s="545">
        <f t="shared" ref="E22:BB22" si="58">AVERAGE(E7:E20)</f>
        <v>1.0999999999999998E-2</v>
      </c>
      <c r="F22" s="545">
        <f t="shared" si="58"/>
        <v>0.12778571428571431</v>
      </c>
      <c r="G22" s="544">
        <f t="shared" si="58"/>
        <v>7.2714285714285714</v>
      </c>
      <c r="H22" s="545">
        <f t="shared" si="58"/>
        <v>9.9923076923076948E-2</v>
      </c>
      <c r="I22" s="544">
        <f t="shared" si="58"/>
        <v>2.5799999999999996</v>
      </c>
      <c r="J22" s="545">
        <f t="shared" si="58"/>
        <v>0.15478571428571428</v>
      </c>
      <c r="K22" s="545">
        <f t="shared" si="58"/>
        <v>1.7950000000000004E-2</v>
      </c>
      <c r="L22" s="545">
        <f t="shared" si="58"/>
        <v>2.7E-2</v>
      </c>
      <c r="M22" s="544">
        <f t="shared" si="58"/>
        <v>102.5</v>
      </c>
      <c r="N22" s="544">
        <f t="shared" si="58"/>
        <v>38.846153846153847</v>
      </c>
      <c r="O22" s="544" t="e">
        <f t="shared" si="58"/>
        <v>#DIV/0!</v>
      </c>
      <c r="P22" s="544">
        <f t="shared" si="58"/>
        <v>159</v>
      </c>
      <c r="Q22" s="544">
        <f t="shared" si="58"/>
        <v>31.76923076923077</v>
      </c>
      <c r="R22" s="544">
        <f t="shared" si="58"/>
        <v>0.21333333333333337</v>
      </c>
      <c r="S22" s="544">
        <f t="shared" si="58"/>
        <v>3.1541666666666668</v>
      </c>
      <c r="T22" s="544">
        <f t="shared" si="58"/>
        <v>4.5792857142857146</v>
      </c>
      <c r="U22" s="544">
        <f t="shared" si="58"/>
        <v>0.73541666666666672</v>
      </c>
      <c r="V22" s="544">
        <f t="shared" si="58"/>
        <v>3.6664285714285714</v>
      </c>
      <c r="W22" s="544">
        <f t="shared" si="58"/>
        <v>68.291666666666671</v>
      </c>
      <c r="X22" s="544">
        <f t="shared" si="58"/>
        <v>5.5142857142857139E-2</v>
      </c>
      <c r="Y22" s="544">
        <f t="shared" si="58"/>
        <v>2.2000000000000002</v>
      </c>
      <c r="Z22" s="544">
        <f t="shared" si="58"/>
        <v>4.7153846153846155</v>
      </c>
      <c r="AA22" s="544">
        <f t="shared" si="58"/>
        <v>30.528571428571428</v>
      </c>
      <c r="AB22" s="544">
        <f t="shared" si="58"/>
        <v>0.93000000000000016</v>
      </c>
      <c r="AC22" s="545">
        <f t="shared" si="58"/>
        <v>1.8554545454545452</v>
      </c>
      <c r="AD22" s="545">
        <f t="shared" si="58"/>
        <v>0.24933333333333332</v>
      </c>
      <c r="AE22" s="545">
        <f t="shared" si="58"/>
        <v>0.46153846153846156</v>
      </c>
      <c r="AF22" s="545">
        <f t="shared" si="58"/>
        <v>1.3178571428571428</v>
      </c>
      <c r="AG22" s="545">
        <f t="shared" si="58"/>
        <v>4.9999999999999996E-2</v>
      </c>
      <c r="AH22" s="545">
        <f t="shared" si="58"/>
        <v>6.7507142857142863</v>
      </c>
      <c r="AI22" s="545">
        <f t="shared" si="58"/>
        <v>9.1249999999999998E-2</v>
      </c>
      <c r="AJ22" s="545">
        <f t="shared" si="58"/>
        <v>0.22890909090909092</v>
      </c>
      <c r="AK22" s="545">
        <f t="shared" si="58"/>
        <v>0.06</v>
      </c>
      <c r="AL22" s="545">
        <f t="shared" si="58"/>
        <v>0.23571428571428574</v>
      </c>
      <c r="AM22" s="545">
        <f t="shared" si="58"/>
        <v>0.317</v>
      </c>
      <c r="AN22" s="545">
        <f t="shared" si="58"/>
        <v>0.3494444444444445</v>
      </c>
      <c r="AO22" s="545">
        <f t="shared" si="58"/>
        <v>7.4999999999999997E-2</v>
      </c>
      <c r="AP22" s="545">
        <f t="shared" si="58"/>
        <v>5.7271428571428578</v>
      </c>
      <c r="AQ22" s="545">
        <f t="shared" si="58"/>
        <v>0.14000000000000001</v>
      </c>
      <c r="AR22" s="544">
        <f t="shared" si="58"/>
        <v>0.21636363636363634</v>
      </c>
      <c r="AS22" s="544">
        <f t="shared" si="58"/>
        <v>4.2499999999999996E-2</v>
      </c>
      <c r="AT22" s="544">
        <f t="shared" si="58"/>
        <v>1</v>
      </c>
      <c r="AU22" s="544">
        <f t="shared" si="58"/>
        <v>0.68</v>
      </c>
      <c r="AV22" s="544">
        <f t="shared" si="58"/>
        <v>0.3457142857142857</v>
      </c>
      <c r="AW22" s="544">
        <f t="shared" si="58"/>
        <v>1.9371428571428573</v>
      </c>
      <c r="AX22" s="544">
        <f t="shared" si="58"/>
        <v>2.0528571428571429</v>
      </c>
      <c r="AY22" s="544">
        <f t="shared" si="58"/>
        <v>1.0778571428571428</v>
      </c>
      <c r="AZ22" s="544">
        <f t="shared" si="58"/>
        <v>5.2928571428571429E-2</v>
      </c>
      <c r="BA22" s="544">
        <f t="shared" si="58"/>
        <v>3.964285714285714</v>
      </c>
      <c r="BB22" s="544">
        <f t="shared" si="58"/>
        <v>1.2628636428571429</v>
      </c>
      <c r="BC22" s="544">
        <f>AVERAGE(BC7:BC20)</f>
        <v>3.6714285714285713</v>
      </c>
      <c r="CE22" s="691">
        <f>AVERAGE(CE7:CE20)</f>
        <v>0.76456814198164114</v>
      </c>
      <c r="CF22" s="691">
        <f>AVERAGE(CF7:CF20)</f>
        <v>0.92998030011098742</v>
      </c>
      <c r="CG22" s="691">
        <f>AVERAGE(CG7:CG20)</f>
        <v>0.27142857142857146</v>
      </c>
      <c r="CH22" s="691">
        <f>AVERAGE(CH7:CH20)</f>
        <v>0.97507142857142859</v>
      </c>
    </row>
    <row r="23" spans="2:86" ht="20.149999999999999" customHeight="1" x14ac:dyDescent="0.2">
      <c r="B23" s="704" t="s">
        <v>94</v>
      </c>
      <c r="C23" s="705"/>
      <c r="D23" s="57"/>
      <c r="E23" s="30">
        <v>2.1999999999999999E-2</v>
      </c>
      <c r="F23" s="29">
        <v>3.7999999999999999E-2</v>
      </c>
      <c r="G23" s="29">
        <v>1.7000000000000001E-2</v>
      </c>
      <c r="H23" s="30">
        <v>2.4E-2</v>
      </c>
      <c r="I23" s="29">
        <v>2.5000000000000001E-2</v>
      </c>
      <c r="J23" s="29">
        <v>4.4999999999999997E-3</v>
      </c>
      <c r="K23" s="29">
        <v>4.8999999999999998E-3</v>
      </c>
      <c r="L23" s="26">
        <v>5.3999999999999999E-2</v>
      </c>
      <c r="M23" s="30">
        <v>8.1999999999999993</v>
      </c>
      <c r="N23" s="305">
        <v>5</v>
      </c>
      <c r="O23" s="29" t="s">
        <v>232</v>
      </c>
      <c r="P23" s="29">
        <v>8.3000000000000007</v>
      </c>
      <c r="Q23" s="29">
        <v>14</v>
      </c>
      <c r="R23" s="253">
        <v>0.1</v>
      </c>
      <c r="S23" s="29">
        <v>1.7</v>
      </c>
      <c r="T23" s="29">
        <v>5.6000000000000001E-2</v>
      </c>
      <c r="U23" s="29">
        <v>0.41</v>
      </c>
      <c r="V23" s="29">
        <v>0.27</v>
      </c>
      <c r="W23" s="29">
        <v>37</v>
      </c>
      <c r="X23" s="29">
        <v>9.1999999999999998E-2</v>
      </c>
      <c r="Y23" s="29">
        <v>3.5</v>
      </c>
      <c r="Z23" s="29">
        <v>0.56999999999999995</v>
      </c>
      <c r="AA23" s="29">
        <v>2.8</v>
      </c>
      <c r="AB23" s="29">
        <v>0.17</v>
      </c>
      <c r="AC23" s="29">
        <v>0.33</v>
      </c>
      <c r="AD23" s="29">
        <v>7.6999999999999999E-2</v>
      </c>
      <c r="AE23" s="29">
        <v>0.23</v>
      </c>
      <c r="AF23" s="29">
        <v>6.2E-2</v>
      </c>
      <c r="AG23" s="253">
        <v>0.1</v>
      </c>
      <c r="AH23" s="29">
        <v>0.21</v>
      </c>
      <c r="AI23" s="29">
        <v>9.1999999999999998E-2</v>
      </c>
      <c r="AJ23" s="29">
        <v>9.6000000000000002E-2</v>
      </c>
      <c r="AK23" s="29">
        <v>0.12</v>
      </c>
      <c r="AL23" s="27">
        <v>0.33</v>
      </c>
      <c r="AM23" s="58">
        <v>0.12</v>
      </c>
      <c r="AN23" s="58">
        <v>0.37</v>
      </c>
      <c r="AO23" s="58">
        <v>0.15</v>
      </c>
      <c r="AP23" s="59">
        <v>0.18</v>
      </c>
      <c r="AQ23" s="58">
        <v>0.28000000000000003</v>
      </c>
      <c r="AR23" s="60">
        <v>0.13</v>
      </c>
      <c r="AS23" s="28">
        <v>8.5000000000000006E-2</v>
      </c>
      <c r="AT23" s="30">
        <v>6.0999999999999999E-2</v>
      </c>
      <c r="AU23" s="306">
        <v>0.08</v>
      </c>
      <c r="AV23" s="30">
        <v>1.6E-2</v>
      </c>
      <c r="AW23" s="307">
        <v>0.1</v>
      </c>
      <c r="AX23" s="308">
        <v>0.04</v>
      </c>
      <c r="AY23" s="27">
        <v>4.2999999999999997E-2</v>
      </c>
      <c r="AZ23" s="27">
        <v>2.1999999999999999E-2</v>
      </c>
      <c r="BA23" s="27"/>
      <c r="BB23" s="27"/>
      <c r="BC23" s="26">
        <v>0.26</v>
      </c>
    </row>
    <row r="24" spans="2:86" ht="20.149999999999999" customHeight="1" x14ac:dyDescent="0.2">
      <c r="B24" s="692" t="s">
        <v>95</v>
      </c>
      <c r="C24" s="693"/>
      <c r="D24" s="61"/>
      <c r="E24" s="56">
        <v>7.2999999999999995E-2</v>
      </c>
      <c r="F24" s="55">
        <v>0.13</v>
      </c>
      <c r="G24" s="55">
        <v>5.6000000000000001E-2</v>
      </c>
      <c r="H24" s="56">
        <v>7.9000000000000001E-2</v>
      </c>
      <c r="I24" s="55">
        <v>8.4000000000000005E-2</v>
      </c>
      <c r="J24" s="55">
        <v>1.4999999999999999E-2</v>
      </c>
      <c r="K24" s="55">
        <v>1.6E-2</v>
      </c>
      <c r="L24" s="52">
        <v>0.18</v>
      </c>
      <c r="M24" s="56">
        <v>27</v>
      </c>
      <c r="N24" s="55">
        <v>17</v>
      </c>
      <c r="O24" s="55" t="s">
        <v>232</v>
      </c>
      <c r="P24" s="55">
        <v>28</v>
      </c>
      <c r="Q24" s="55">
        <v>48</v>
      </c>
      <c r="R24" s="55">
        <v>0.35</v>
      </c>
      <c r="S24" s="55">
        <v>5.6</v>
      </c>
      <c r="T24" s="55">
        <v>0.19</v>
      </c>
      <c r="U24" s="55">
        <v>1.4</v>
      </c>
      <c r="V24" s="55">
        <v>0.89</v>
      </c>
      <c r="W24" s="55">
        <v>120</v>
      </c>
      <c r="X24" s="55">
        <v>0.31</v>
      </c>
      <c r="Y24" s="55">
        <v>12</v>
      </c>
      <c r="Z24" s="55">
        <v>1.9</v>
      </c>
      <c r="AA24" s="55">
        <v>9.4</v>
      </c>
      <c r="AB24" s="55">
        <v>0.56999999999999995</v>
      </c>
      <c r="AC24" s="55">
        <v>1.1000000000000001</v>
      </c>
      <c r="AD24" s="55">
        <v>0.26</v>
      </c>
      <c r="AE24" s="55">
        <v>0.75</v>
      </c>
      <c r="AF24" s="55">
        <v>0.21</v>
      </c>
      <c r="AG24" s="55">
        <v>0.35</v>
      </c>
      <c r="AH24" s="55">
        <v>0.69</v>
      </c>
      <c r="AI24" s="55">
        <v>0.31</v>
      </c>
      <c r="AJ24" s="55">
        <v>0.32</v>
      </c>
      <c r="AK24" s="55">
        <v>0.39</v>
      </c>
      <c r="AL24" s="53">
        <v>1.1000000000000001</v>
      </c>
      <c r="AM24" s="53">
        <v>0.41</v>
      </c>
      <c r="AN24" s="53">
        <v>1.2</v>
      </c>
      <c r="AO24" s="53">
        <v>0.51</v>
      </c>
      <c r="AP24" s="55">
        <v>0.59</v>
      </c>
      <c r="AQ24" s="53">
        <v>0.94</v>
      </c>
      <c r="AR24" s="52">
        <v>0.45</v>
      </c>
      <c r="AS24" s="54">
        <v>0.28000000000000003</v>
      </c>
      <c r="AT24" s="309">
        <v>0.2</v>
      </c>
      <c r="AU24" s="56">
        <v>0.27</v>
      </c>
      <c r="AV24" s="56">
        <v>5.3999999999999999E-2</v>
      </c>
      <c r="AW24" s="56">
        <v>0.33</v>
      </c>
      <c r="AX24" s="55">
        <v>0.13</v>
      </c>
      <c r="AY24" s="53">
        <v>0.14000000000000001</v>
      </c>
      <c r="AZ24" s="53">
        <v>7.2999999999999995E-2</v>
      </c>
      <c r="BA24" s="53"/>
      <c r="BB24" s="53"/>
      <c r="BC24" s="52">
        <v>0.85</v>
      </c>
    </row>
    <row r="25" spans="2:86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18"/>
      <c r="AR25" s="709"/>
      <c r="AS25" s="712"/>
      <c r="AT25" s="706"/>
      <c r="AU25" s="706"/>
      <c r="AV25" s="706"/>
      <c r="AW25" s="706"/>
      <c r="AX25" s="706"/>
      <c r="AY25" s="706"/>
      <c r="AZ25" s="706"/>
      <c r="BA25" s="706"/>
      <c r="BB25" s="706"/>
      <c r="BC25" s="709"/>
    </row>
    <row r="26" spans="2:86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62"/>
      <c r="AR26" s="710"/>
      <c r="AS26" s="713"/>
      <c r="AT26" s="707"/>
      <c r="AU26" s="707"/>
      <c r="AV26" s="707"/>
      <c r="AW26" s="707"/>
      <c r="AX26" s="707"/>
      <c r="AY26" s="707"/>
      <c r="AZ26" s="707"/>
      <c r="BA26" s="707"/>
      <c r="BB26" s="707"/>
      <c r="BC26" s="710"/>
    </row>
    <row r="27" spans="2:86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20"/>
      <c r="AR27" s="711"/>
      <c r="AS27" s="714"/>
      <c r="AT27" s="708"/>
      <c r="AU27" s="708"/>
      <c r="AV27" s="708"/>
      <c r="AW27" s="708"/>
      <c r="AX27" s="708"/>
      <c r="AY27" s="708"/>
      <c r="AZ27" s="708"/>
      <c r="BA27" s="708"/>
      <c r="BB27" s="708"/>
      <c r="BC27" s="711"/>
    </row>
    <row r="28" spans="2:86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2:86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2:86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</sheetData>
  <mergeCells count="59">
    <mergeCell ref="B23:C23"/>
    <mergeCell ref="D2:F2"/>
    <mergeCell ref="G4:H4"/>
    <mergeCell ref="O4:P4"/>
    <mergeCell ref="AU4:AV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X25:AX27"/>
    <mergeCell ref="AL25:AL27"/>
    <mergeCell ref="AM25:AM27"/>
    <mergeCell ref="AN25:AN27"/>
    <mergeCell ref="AO25:AO27"/>
    <mergeCell ref="AP25:AP27"/>
    <mergeCell ref="AR25:AR27"/>
    <mergeCell ref="AS25:AS27"/>
    <mergeCell ref="AT25:AT27"/>
    <mergeCell ref="AU25:AU27"/>
    <mergeCell ref="AV25:AV27"/>
    <mergeCell ref="AW25:AW27"/>
    <mergeCell ref="AY25:AY27"/>
    <mergeCell ref="AZ25:AZ27"/>
    <mergeCell ref="BA25:BA27"/>
    <mergeCell ref="BB25:BB27"/>
    <mergeCell ref="BC25:BC27"/>
  </mergeCells>
  <phoneticPr fontId="2"/>
  <conditionalFormatting sqref="CC7:CC20">
    <cfRule type="cellIs" dxfId="91" priority="7" stopIfTrue="1" operator="notBetween">
      <formula>0.8</formula>
      <formula>1.2</formula>
    </cfRule>
  </conditionalFormatting>
  <conditionalFormatting sqref="BD7:BE20">
    <cfRule type="cellIs" dxfId="90" priority="6" stopIfTrue="1" operator="notBetween">
      <formula>0.9</formula>
      <formula>1.1</formula>
    </cfRule>
  </conditionalFormatting>
  <conditionalFormatting sqref="BQ7:BQ20">
    <cfRule type="cellIs" dxfId="89" priority="3" stopIfTrue="1" operator="notBetween">
      <formula>0.8</formula>
      <formula>1.2</formula>
    </cfRule>
  </conditionalFormatting>
  <conditionalFormatting sqref="CG7:CG20">
    <cfRule type="cellIs" dxfId="88" priority="1" stopIfTrue="1" operator="lessThan">
      <formula>0</formula>
    </cfRule>
  </conditionalFormatting>
  <dataValidations disablePrompts="1"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H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284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578" t="s">
        <v>47</v>
      </c>
      <c r="AR5" s="579" t="s">
        <v>180</v>
      </c>
      <c r="AS5" s="580" t="s">
        <v>181</v>
      </c>
      <c r="AT5" s="580" t="s">
        <v>182</v>
      </c>
      <c r="AU5" s="580" t="s">
        <v>183</v>
      </c>
      <c r="AV5" s="580" t="s">
        <v>184</v>
      </c>
      <c r="AW5" s="581" t="s">
        <v>185</v>
      </c>
      <c r="AX5" s="582" t="s">
        <v>186</v>
      </c>
      <c r="AY5" s="582" t="s">
        <v>187</v>
      </c>
      <c r="AZ5" s="582" t="s">
        <v>188</v>
      </c>
      <c r="BA5" s="582" t="s">
        <v>189</v>
      </c>
      <c r="BB5" s="583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584"/>
      <c r="AR6" s="413" t="s">
        <v>191</v>
      </c>
      <c r="AS6" s="413" t="s">
        <v>191</v>
      </c>
      <c r="AT6" s="413" t="s">
        <v>191</v>
      </c>
      <c r="AU6" s="413" t="s">
        <v>191</v>
      </c>
      <c r="AV6" s="413" t="s">
        <v>191</v>
      </c>
      <c r="AW6" s="413" t="s">
        <v>191</v>
      </c>
      <c r="AX6" s="413" t="s">
        <v>191</v>
      </c>
      <c r="AY6" s="413" t="s">
        <v>191</v>
      </c>
      <c r="AZ6" s="413" t="s">
        <v>191</v>
      </c>
      <c r="BA6" s="413" t="s">
        <v>191</v>
      </c>
      <c r="BB6" s="585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9.1</v>
      </c>
      <c r="E7" s="28" t="s">
        <v>285</v>
      </c>
      <c r="F7" s="29">
        <v>0.25</v>
      </c>
      <c r="G7" s="29">
        <v>1.6</v>
      </c>
      <c r="H7" s="30" t="s">
        <v>286</v>
      </c>
      <c r="I7" s="29">
        <v>0.31</v>
      </c>
      <c r="J7" s="29" t="s">
        <v>253</v>
      </c>
      <c r="K7" s="29" t="s">
        <v>287</v>
      </c>
      <c r="L7" s="26">
        <v>3.2000000000000001E-2</v>
      </c>
      <c r="M7" s="28" t="s">
        <v>288</v>
      </c>
      <c r="N7" s="29">
        <v>140</v>
      </c>
      <c r="O7" s="29" t="s">
        <v>232</v>
      </c>
      <c r="P7" s="29">
        <v>32</v>
      </c>
      <c r="Q7" s="29" t="s">
        <v>289</v>
      </c>
      <c r="R7" s="29">
        <v>3.1E-2</v>
      </c>
      <c r="S7" s="29" t="s">
        <v>290</v>
      </c>
      <c r="T7" s="29">
        <v>0.89</v>
      </c>
      <c r="U7" s="29" t="s">
        <v>291</v>
      </c>
      <c r="V7" s="29">
        <v>3.2</v>
      </c>
      <c r="W7" s="29">
        <v>74</v>
      </c>
      <c r="X7" s="29" t="s">
        <v>242</v>
      </c>
      <c r="Y7" s="29">
        <v>1.4</v>
      </c>
      <c r="Z7" s="29">
        <v>5.8</v>
      </c>
      <c r="AA7" s="29">
        <v>12</v>
      </c>
      <c r="AB7" s="29">
        <v>0.24</v>
      </c>
      <c r="AC7" s="29">
        <v>0.33</v>
      </c>
      <c r="AD7" s="29">
        <v>0.11</v>
      </c>
      <c r="AE7" s="29">
        <v>1.7</v>
      </c>
      <c r="AF7" s="29" t="s">
        <v>290</v>
      </c>
      <c r="AG7" s="29" t="s">
        <v>74</v>
      </c>
      <c r="AH7" s="29">
        <v>3.2</v>
      </c>
      <c r="AI7" s="29">
        <v>0.04</v>
      </c>
      <c r="AJ7" s="29">
        <v>7.8E-2</v>
      </c>
      <c r="AK7" s="29">
        <v>5.7000000000000002E-3</v>
      </c>
      <c r="AL7" s="27" t="s">
        <v>292</v>
      </c>
      <c r="AM7" s="27">
        <v>0.24</v>
      </c>
      <c r="AN7" s="27" t="s">
        <v>293</v>
      </c>
      <c r="AO7" s="27" t="s">
        <v>259</v>
      </c>
      <c r="AP7" s="29">
        <v>1.3</v>
      </c>
      <c r="AQ7" s="383"/>
      <c r="AR7" s="383">
        <v>0.3</v>
      </c>
      <c r="AS7" s="385">
        <v>0.89</v>
      </c>
      <c r="AT7" s="388">
        <v>1.3</v>
      </c>
      <c r="AU7" s="388">
        <v>0.56999999999999995</v>
      </c>
      <c r="AV7" s="388">
        <v>0.54</v>
      </c>
      <c r="AW7" s="388">
        <v>0.89</v>
      </c>
      <c r="AX7" s="387">
        <v>0.63</v>
      </c>
      <c r="AY7" s="209">
        <v>7.4999999999999997E-2</v>
      </c>
      <c r="AZ7" s="209">
        <v>3.6</v>
      </c>
      <c r="BA7" s="209">
        <v>1.1000000000000001</v>
      </c>
      <c r="BB7" s="383">
        <v>1.9</v>
      </c>
      <c r="BC7" s="619">
        <f>SUM(AR7:AV7)/AZ7</f>
        <v>1</v>
      </c>
      <c r="BD7" s="610">
        <f>(SUM(AW7:AY7)-AV7)/BA7</f>
        <v>0.95909090909090899</v>
      </c>
      <c r="BF7" s="610" t="e">
        <f>E7/35.5</f>
        <v>#VALUE!</v>
      </c>
      <c r="BG7" s="610">
        <f>F7/62</f>
        <v>4.0322580645161289E-3</v>
      </c>
      <c r="BH7" s="610">
        <f>G7/(96/2)</f>
        <v>3.3333333333333333E-2</v>
      </c>
      <c r="BI7" s="610" t="e">
        <f>H7/23</f>
        <v>#VALUE!</v>
      </c>
      <c r="BJ7" s="610">
        <f>I7/18</f>
        <v>1.7222222222222222E-2</v>
      </c>
      <c r="BK7" s="610" t="e">
        <f>J7/39</f>
        <v>#VALUE!</v>
      </c>
      <c r="BL7" s="610" t="e">
        <f>K7/(24.3/2)</f>
        <v>#VALUE!</v>
      </c>
      <c r="BM7" s="610">
        <f>L7/(40/2)</f>
        <v>1.6000000000000001E-3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2.2000000000000002</v>
      </c>
      <c r="BS7" s="564">
        <f>1.29*F7</f>
        <v>0.32250000000000001</v>
      </c>
      <c r="BT7" s="564" t="e">
        <f>2.5*H7</f>
        <v>#VALUE!</v>
      </c>
      <c r="BU7" s="564">
        <f>1.6*AZ7</f>
        <v>5.7600000000000007</v>
      </c>
      <c r="BV7" s="564">
        <f>BA7</f>
        <v>1.1000000000000001</v>
      </c>
      <c r="BW7" s="564">
        <f>9.19/1000*N7</f>
        <v>1.2866</v>
      </c>
      <c r="BX7" s="564" t="e">
        <f t="shared" ref="BX7:BX20" si="0">Q7/1000*1.4</f>
        <v>#VALUE!</v>
      </c>
      <c r="BY7" s="564">
        <f>W7/1000*1.38</f>
        <v>0.10211999999999999</v>
      </c>
      <c r="BZ7" s="564" t="e">
        <f>S7/1000*1.67</f>
        <v>#VALUE!</v>
      </c>
      <c r="CA7" s="564" t="e">
        <f>SUM(BR7:BZ7)</f>
        <v>#VALUE!</v>
      </c>
      <c r="CB7" s="611" t="e">
        <f>CA7/D7</f>
        <v>#VALUE!</v>
      </c>
      <c r="CD7" s="610">
        <f>AZ7/(AZ7+BA7)</f>
        <v>0.76595744680851063</v>
      </c>
      <c r="CE7" s="610">
        <f>BB7/AZ7</f>
        <v>0.52777777777777779</v>
      </c>
      <c r="CF7" s="610">
        <f t="shared" ref="CF7:CF12" si="1">IF(AW7-AV7&gt;0,AW7-AV7,0)</f>
        <v>0.35</v>
      </c>
      <c r="CG7" s="610">
        <f t="shared" ref="CG7:CG12" si="2">IF(AW7-AV7&gt;0,AX7+AY7,AW7+AX7+AY7-AV7)</f>
        <v>0.70499999999999996</v>
      </c>
    </row>
    <row r="8" spans="2:85" ht="20.149999999999999" customHeight="1" x14ac:dyDescent="0.2">
      <c r="B8" s="31" t="s">
        <v>61</v>
      </c>
      <c r="C8" s="32" t="s">
        <v>199</v>
      </c>
      <c r="D8" s="33">
        <v>3.4</v>
      </c>
      <c r="E8" s="34" t="s">
        <v>285</v>
      </c>
      <c r="F8" s="35" t="s">
        <v>294</v>
      </c>
      <c r="G8" s="35">
        <v>0.35</v>
      </c>
      <c r="H8" s="36" t="s">
        <v>286</v>
      </c>
      <c r="I8" s="35">
        <v>0.16</v>
      </c>
      <c r="J8" s="35" t="s">
        <v>253</v>
      </c>
      <c r="K8" s="35" t="s">
        <v>287</v>
      </c>
      <c r="L8" s="32" t="s">
        <v>295</v>
      </c>
      <c r="M8" s="34" t="s">
        <v>288</v>
      </c>
      <c r="N8" s="35" t="s">
        <v>296</v>
      </c>
      <c r="O8" s="35" t="s">
        <v>232</v>
      </c>
      <c r="P8" s="35" t="s">
        <v>297</v>
      </c>
      <c r="Q8" s="35" t="s">
        <v>289</v>
      </c>
      <c r="R8" s="35" t="s">
        <v>298</v>
      </c>
      <c r="S8" s="35" t="s">
        <v>290</v>
      </c>
      <c r="T8" s="35">
        <v>0.21</v>
      </c>
      <c r="U8" s="35" t="s">
        <v>291</v>
      </c>
      <c r="V8" s="35">
        <v>0.69</v>
      </c>
      <c r="W8" s="35" t="s">
        <v>299</v>
      </c>
      <c r="X8" s="35">
        <v>0.26</v>
      </c>
      <c r="Y8" s="35" t="s">
        <v>300</v>
      </c>
      <c r="Z8" s="35" t="s">
        <v>301</v>
      </c>
      <c r="AA8" s="35" t="s">
        <v>302</v>
      </c>
      <c r="AB8" s="35">
        <v>0.21</v>
      </c>
      <c r="AC8" s="35" t="s">
        <v>79</v>
      </c>
      <c r="AD8" s="35" t="s">
        <v>303</v>
      </c>
      <c r="AE8" s="35">
        <v>0.83</v>
      </c>
      <c r="AF8" s="35" t="s">
        <v>290</v>
      </c>
      <c r="AG8" s="35" t="s">
        <v>74</v>
      </c>
      <c r="AH8" s="35">
        <v>0.62</v>
      </c>
      <c r="AI8" s="35" t="s">
        <v>298</v>
      </c>
      <c r="AJ8" s="35" t="s">
        <v>230</v>
      </c>
      <c r="AK8" s="35">
        <v>3.0999999999999999E-3</v>
      </c>
      <c r="AL8" s="33" t="s">
        <v>292</v>
      </c>
      <c r="AM8" s="33">
        <v>0.15</v>
      </c>
      <c r="AN8" s="33" t="s">
        <v>293</v>
      </c>
      <c r="AO8" s="33" t="s">
        <v>259</v>
      </c>
      <c r="AP8" s="35" t="s">
        <v>304</v>
      </c>
      <c r="AQ8" s="391"/>
      <c r="AR8" s="391" t="s">
        <v>246</v>
      </c>
      <c r="AS8" s="392">
        <v>0.34</v>
      </c>
      <c r="AT8" s="394">
        <v>0.46</v>
      </c>
      <c r="AU8" s="394">
        <v>0.28000000000000003</v>
      </c>
      <c r="AV8" s="394">
        <v>0.04</v>
      </c>
      <c r="AW8" s="394">
        <v>0.19</v>
      </c>
      <c r="AX8" s="393">
        <v>0.31</v>
      </c>
      <c r="AY8" s="219">
        <v>6.5000000000000002E-2</v>
      </c>
      <c r="AZ8" s="219">
        <v>1.1000000000000001</v>
      </c>
      <c r="BA8" s="219">
        <v>0.53</v>
      </c>
      <c r="BB8" s="391">
        <v>0.69</v>
      </c>
      <c r="BC8" s="619">
        <f t="shared" ref="BC8:BC20" si="3">SUM(AR8:AV8)/AZ8</f>
        <v>1.0181818181818183</v>
      </c>
      <c r="BD8" s="610">
        <f t="shared" ref="BD8:BD20" si="4">(SUM(AW8:AY8)-AV8)/BA8</f>
        <v>0.99056603773584884</v>
      </c>
      <c r="BF8" s="610" t="e">
        <f t="shared" ref="BF8:BF20" si="5">E8/35.5</f>
        <v>#VALUE!</v>
      </c>
      <c r="BG8" s="610" t="e">
        <f t="shared" ref="BG8:BG20" si="6">F8/62</f>
        <v>#VALUE!</v>
      </c>
      <c r="BH8" s="610">
        <f t="shared" ref="BH8:BH20" si="7">G8/(96/2)</f>
        <v>7.2916666666666659E-3</v>
      </c>
      <c r="BI8" s="610" t="e">
        <f t="shared" ref="BI8:BI20" si="8">H8/23</f>
        <v>#VALUE!</v>
      </c>
      <c r="BJ8" s="610">
        <f t="shared" ref="BJ8:BJ20" si="9">I8/18</f>
        <v>8.8888888888888889E-3</v>
      </c>
      <c r="BK8" s="610" t="e">
        <f t="shared" ref="BK8:BK20" si="10">J8/39</f>
        <v>#VALUE!</v>
      </c>
      <c r="BL8" s="610" t="e">
        <f t="shared" ref="BL8:BL20" si="11">K8/(24.3/2)</f>
        <v>#VALUE!</v>
      </c>
      <c r="BM8" s="610" t="e">
        <f t="shared" ref="BM8:BM20" si="12">L8/(40/2)</f>
        <v>#VALUE!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0.48124999999999996</v>
      </c>
      <c r="BS8" s="564" t="e">
        <f t="shared" ref="BS8:BS20" si="17">1.29*F8</f>
        <v>#VALUE!</v>
      </c>
      <c r="BT8" s="564" t="e">
        <f t="shared" ref="BT8:BT20" si="18">2.5*H8</f>
        <v>#VALUE!</v>
      </c>
      <c r="BU8" s="564">
        <f t="shared" ref="BU8:BU20" si="19">1.6*AZ8</f>
        <v>1.7600000000000002</v>
      </c>
      <c r="BV8" s="564">
        <f t="shared" ref="BV8:BV20" si="20">BA8</f>
        <v>0.53</v>
      </c>
      <c r="BW8" s="564" t="e">
        <f t="shared" ref="BW8:BW20" si="21">9.19/1000*N8</f>
        <v>#VALUE!</v>
      </c>
      <c r="BX8" s="564" t="e">
        <f t="shared" si="0"/>
        <v>#VALUE!</v>
      </c>
      <c r="BY8" s="564" t="e">
        <f t="shared" ref="BY8:BY20" si="22">W8/1000*1.38</f>
        <v>#VALUE!</v>
      </c>
      <c r="BZ8" s="564" t="e">
        <f t="shared" ref="BZ8:BZ20" si="23">S8/1000*1.67</f>
        <v>#VALUE!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0.67484662576687116</v>
      </c>
      <c r="CE8" s="610">
        <f t="shared" ref="CE8:CE20" si="27">BB8/AZ8</f>
        <v>0.6272727272727272</v>
      </c>
      <c r="CF8" s="610">
        <f t="shared" si="1"/>
        <v>0.15</v>
      </c>
      <c r="CG8" s="610">
        <f t="shared" si="2"/>
        <v>0.375</v>
      </c>
    </row>
    <row r="9" spans="2:85" ht="20.149999999999999" customHeight="1" x14ac:dyDescent="0.2">
      <c r="B9" s="31" t="s">
        <v>61</v>
      </c>
      <c r="C9" s="37" t="s">
        <v>200</v>
      </c>
      <c r="D9" s="33">
        <v>6.9</v>
      </c>
      <c r="E9" s="34" t="s">
        <v>285</v>
      </c>
      <c r="F9" s="35">
        <v>0.08</v>
      </c>
      <c r="G9" s="35">
        <v>1.5</v>
      </c>
      <c r="H9" s="36" t="s">
        <v>286</v>
      </c>
      <c r="I9" s="35">
        <v>0.4</v>
      </c>
      <c r="J9" s="35" t="s">
        <v>253</v>
      </c>
      <c r="K9" s="35" t="s">
        <v>287</v>
      </c>
      <c r="L9" s="32" t="s">
        <v>295</v>
      </c>
      <c r="M9" s="34" t="s">
        <v>288</v>
      </c>
      <c r="N9" s="35" t="s">
        <v>296</v>
      </c>
      <c r="O9" s="35" t="s">
        <v>232</v>
      </c>
      <c r="P9" s="35">
        <v>28</v>
      </c>
      <c r="Q9" s="35" t="s">
        <v>289</v>
      </c>
      <c r="R9" s="35" t="s">
        <v>298</v>
      </c>
      <c r="S9" s="35" t="s">
        <v>290</v>
      </c>
      <c r="T9" s="35">
        <v>0.44</v>
      </c>
      <c r="U9" s="35" t="s">
        <v>291</v>
      </c>
      <c r="V9" s="35">
        <v>1.2</v>
      </c>
      <c r="W9" s="35" t="s">
        <v>299</v>
      </c>
      <c r="X9" s="35" t="s">
        <v>242</v>
      </c>
      <c r="Y9" s="35" t="s">
        <v>300</v>
      </c>
      <c r="Z9" s="35" t="s">
        <v>301</v>
      </c>
      <c r="AA9" s="35">
        <v>4.5</v>
      </c>
      <c r="AB9" s="35">
        <v>0.21</v>
      </c>
      <c r="AC9" s="35">
        <v>0.26</v>
      </c>
      <c r="AD9" s="35" t="s">
        <v>303</v>
      </c>
      <c r="AE9" s="35">
        <v>0.5</v>
      </c>
      <c r="AF9" s="35" t="s">
        <v>290</v>
      </c>
      <c r="AG9" s="35" t="s">
        <v>74</v>
      </c>
      <c r="AH9" s="35">
        <v>0.75</v>
      </c>
      <c r="AI9" s="35" t="s">
        <v>298</v>
      </c>
      <c r="AJ9" s="35" t="s">
        <v>230</v>
      </c>
      <c r="AK9" s="35">
        <v>3.5000000000000001E-3</v>
      </c>
      <c r="AL9" s="33" t="s">
        <v>292</v>
      </c>
      <c r="AM9" s="33">
        <v>0.14000000000000001</v>
      </c>
      <c r="AN9" s="33" t="s">
        <v>293</v>
      </c>
      <c r="AO9" s="33" t="s">
        <v>259</v>
      </c>
      <c r="AP9" s="35" t="s">
        <v>304</v>
      </c>
      <c r="AQ9" s="391"/>
      <c r="AR9" s="391">
        <v>0.18</v>
      </c>
      <c r="AS9" s="392">
        <v>0.59</v>
      </c>
      <c r="AT9" s="394">
        <v>0.76</v>
      </c>
      <c r="AU9" s="394">
        <v>0.4</v>
      </c>
      <c r="AV9" s="394">
        <v>0.34</v>
      </c>
      <c r="AW9" s="394">
        <v>0.52</v>
      </c>
      <c r="AX9" s="393">
        <v>0.59</v>
      </c>
      <c r="AY9" s="219">
        <v>7.4999999999999997E-2</v>
      </c>
      <c r="AZ9" s="219">
        <v>2.2999999999999998</v>
      </c>
      <c r="BA9" s="219">
        <v>0.85</v>
      </c>
      <c r="BB9" s="391">
        <v>1.2</v>
      </c>
      <c r="BC9" s="619">
        <f t="shared" si="3"/>
        <v>0.98695652173913051</v>
      </c>
      <c r="BD9" s="610">
        <f t="shared" si="4"/>
        <v>0.99411764705882322</v>
      </c>
      <c r="BF9" s="610" t="e">
        <f t="shared" si="5"/>
        <v>#VALUE!</v>
      </c>
      <c r="BG9" s="610">
        <f t="shared" si="6"/>
        <v>1.2903225806451613E-3</v>
      </c>
      <c r="BH9" s="610">
        <f t="shared" si="7"/>
        <v>3.125E-2</v>
      </c>
      <c r="BI9" s="610" t="e">
        <f t="shared" si="8"/>
        <v>#VALUE!</v>
      </c>
      <c r="BJ9" s="610">
        <f t="shared" si="9"/>
        <v>2.2222222222222223E-2</v>
      </c>
      <c r="BK9" s="610" t="e">
        <f t="shared" si="10"/>
        <v>#VALUE!</v>
      </c>
      <c r="BL9" s="610" t="e">
        <f t="shared" si="11"/>
        <v>#VALUE!</v>
      </c>
      <c r="BM9" s="610" t="e">
        <f t="shared" si="12"/>
        <v>#VALUE!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2.0625</v>
      </c>
      <c r="BS9" s="564">
        <f t="shared" si="17"/>
        <v>0.1032</v>
      </c>
      <c r="BT9" s="564" t="e">
        <f t="shared" si="18"/>
        <v>#VALUE!</v>
      </c>
      <c r="BU9" s="564">
        <f t="shared" si="19"/>
        <v>3.6799999999999997</v>
      </c>
      <c r="BV9" s="564">
        <f t="shared" si="20"/>
        <v>0.85</v>
      </c>
      <c r="BW9" s="564" t="e">
        <f t="shared" si="21"/>
        <v>#VALUE!</v>
      </c>
      <c r="BX9" s="564" t="e">
        <f t="shared" si="0"/>
        <v>#VALUE!</v>
      </c>
      <c r="BY9" s="564" t="e">
        <f t="shared" si="22"/>
        <v>#VALUE!</v>
      </c>
      <c r="BZ9" s="564" t="e">
        <f t="shared" si="23"/>
        <v>#VALUE!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0.73015873015873012</v>
      </c>
      <c r="CE9" s="610">
        <f t="shared" si="27"/>
        <v>0.52173913043478259</v>
      </c>
      <c r="CF9" s="610">
        <f t="shared" si="1"/>
        <v>0.18</v>
      </c>
      <c r="CG9" s="610">
        <f t="shared" si="2"/>
        <v>0.66499999999999992</v>
      </c>
    </row>
    <row r="10" spans="2:85" ht="20.149999999999999" customHeight="1" x14ac:dyDescent="0.2">
      <c r="B10" s="31" t="s">
        <v>61</v>
      </c>
      <c r="C10" s="32" t="s">
        <v>82</v>
      </c>
      <c r="D10" s="33">
        <v>12.8</v>
      </c>
      <c r="E10" s="34" t="s">
        <v>285</v>
      </c>
      <c r="F10" s="35" t="s">
        <v>294</v>
      </c>
      <c r="G10" s="35">
        <v>2.1</v>
      </c>
      <c r="H10" s="36" t="s">
        <v>286</v>
      </c>
      <c r="I10" s="35">
        <v>0.81</v>
      </c>
      <c r="J10" s="35" t="s">
        <v>253</v>
      </c>
      <c r="K10" s="35" t="s">
        <v>287</v>
      </c>
      <c r="L10" s="32">
        <v>0.02</v>
      </c>
      <c r="M10" s="34" t="s">
        <v>288</v>
      </c>
      <c r="N10" s="35" t="s">
        <v>296</v>
      </c>
      <c r="O10" s="35" t="s">
        <v>232</v>
      </c>
      <c r="P10" s="35">
        <v>26</v>
      </c>
      <c r="Q10" s="35" t="s">
        <v>289</v>
      </c>
      <c r="R10" s="35" t="s">
        <v>298</v>
      </c>
      <c r="S10" s="35" t="s">
        <v>290</v>
      </c>
      <c r="T10" s="35">
        <v>0.53</v>
      </c>
      <c r="U10" s="35" t="s">
        <v>291</v>
      </c>
      <c r="V10" s="35">
        <v>1.7</v>
      </c>
      <c r="W10" s="35" t="s">
        <v>299</v>
      </c>
      <c r="X10" s="35" t="s">
        <v>242</v>
      </c>
      <c r="Y10" s="35" t="s">
        <v>300</v>
      </c>
      <c r="Z10" s="35" t="s">
        <v>301</v>
      </c>
      <c r="AA10" s="35">
        <v>4.9000000000000004</v>
      </c>
      <c r="AB10" s="35">
        <v>0.21</v>
      </c>
      <c r="AC10" s="35">
        <v>0.32</v>
      </c>
      <c r="AD10" s="35">
        <v>9.2999999999999999E-2</v>
      </c>
      <c r="AE10" s="35" t="s">
        <v>220</v>
      </c>
      <c r="AF10" s="35" t="s">
        <v>290</v>
      </c>
      <c r="AG10" s="35" t="s">
        <v>74</v>
      </c>
      <c r="AH10" s="35">
        <v>1.4</v>
      </c>
      <c r="AI10" s="35">
        <v>2.8000000000000001E-2</v>
      </c>
      <c r="AJ10" s="35">
        <v>3.7999999999999999E-2</v>
      </c>
      <c r="AK10" s="35">
        <v>5.8999999999999999E-3</v>
      </c>
      <c r="AL10" s="33" t="s">
        <v>292</v>
      </c>
      <c r="AM10" s="33" t="s">
        <v>305</v>
      </c>
      <c r="AN10" s="33" t="s">
        <v>293</v>
      </c>
      <c r="AO10" s="33" t="s">
        <v>259</v>
      </c>
      <c r="AP10" s="35">
        <v>0.68</v>
      </c>
      <c r="AQ10" s="391"/>
      <c r="AR10" s="391">
        <v>0.3</v>
      </c>
      <c r="AS10" s="392">
        <v>1.1000000000000001</v>
      </c>
      <c r="AT10" s="394">
        <v>1.3</v>
      </c>
      <c r="AU10" s="394">
        <v>0.6</v>
      </c>
      <c r="AV10" s="394">
        <v>1.2</v>
      </c>
      <c r="AW10" s="394">
        <v>1.1000000000000001</v>
      </c>
      <c r="AX10" s="393">
        <v>0.86</v>
      </c>
      <c r="AY10" s="219">
        <v>0.08</v>
      </c>
      <c r="AZ10" s="219">
        <v>4.5</v>
      </c>
      <c r="BA10" s="219">
        <v>0.84</v>
      </c>
      <c r="BB10" s="391">
        <v>3.1</v>
      </c>
      <c r="BC10" s="619">
        <f t="shared" si="3"/>
        <v>1</v>
      </c>
      <c r="BD10" s="610">
        <f t="shared" si="4"/>
        <v>1.0000000000000002</v>
      </c>
      <c r="BF10" s="610" t="e">
        <f t="shared" si="5"/>
        <v>#VALUE!</v>
      </c>
      <c r="BG10" s="610" t="e">
        <f t="shared" si="6"/>
        <v>#VALUE!</v>
      </c>
      <c r="BH10" s="610">
        <f t="shared" si="7"/>
        <v>4.3750000000000004E-2</v>
      </c>
      <c r="BI10" s="610" t="e">
        <f t="shared" si="8"/>
        <v>#VALUE!</v>
      </c>
      <c r="BJ10" s="610">
        <f t="shared" si="9"/>
        <v>4.5000000000000005E-2</v>
      </c>
      <c r="BK10" s="610" t="e">
        <f t="shared" si="10"/>
        <v>#VALUE!</v>
      </c>
      <c r="BL10" s="610" t="e">
        <f t="shared" si="11"/>
        <v>#VALUE!</v>
      </c>
      <c r="BM10" s="610">
        <f t="shared" si="12"/>
        <v>1E-3</v>
      </c>
      <c r="BN10" s="563" t="e">
        <f t="shared" si="13"/>
        <v>#VALUE!</v>
      </c>
      <c r="BO10" s="563" t="e">
        <f t="shared" si="14"/>
        <v>#VALUE!</v>
      </c>
      <c r="BP10" s="611" t="e">
        <f t="shared" si="15"/>
        <v>#VALUE!</v>
      </c>
      <c r="BR10" s="564">
        <f t="shared" si="16"/>
        <v>2.8875000000000002</v>
      </c>
      <c r="BS10" s="564" t="e">
        <f t="shared" si="17"/>
        <v>#VALUE!</v>
      </c>
      <c r="BT10" s="564" t="e">
        <f t="shared" si="18"/>
        <v>#VALUE!</v>
      </c>
      <c r="BU10" s="564">
        <f t="shared" si="19"/>
        <v>7.2</v>
      </c>
      <c r="BV10" s="564">
        <f t="shared" si="20"/>
        <v>0.84</v>
      </c>
      <c r="BW10" s="564" t="e">
        <f t="shared" si="21"/>
        <v>#VALUE!</v>
      </c>
      <c r="BX10" s="564" t="e">
        <f t="shared" si="0"/>
        <v>#VALUE!</v>
      </c>
      <c r="BY10" s="564" t="e">
        <f t="shared" si="22"/>
        <v>#VALUE!</v>
      </c>
      <c r="BZ10" s="564" t="e">
        <f t="shared" si="23"/>
        <v>#VALUE!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0.84269662921348321</v>
      </c>
      <c r="CE10" s="610">
        <f t="shared" si="27"/>
        <v>0.68888888888888888</v>
      </c>
      <c r="CF10" s="610">
        <f t="shared" si="1"/>
        <v>0</v>
      </c>
      <c r="CG10" s="610">
        <f t="shared" si="2"/>
        <v>0.84000000000000008</v>
      </c>
    </row>
    <row r="11" spans="2:85" ht="20.149999999999999" customHeight="1" thickBot="1" x14ac:dyDescent="0.25">
      <c r="B11" s="39" t="s">
        <v>61</v>
      </c>
      <c r="C11" s="40" t="s">
        <v>201</v>
      </c>
      <c r="D11" s="41" t="s">
        <v>290</v>
      </c>
      <c r="E11" s="42" t="s">
        <v>285</v>
      </c>
      <c r="F11" s="43">
        <v>8.5999999999999993E-2</v>
      </c>
      <c r="G11" s="43">
        <v>4.3</v>
      </c>
      <c r="H11" s="44" t="s">
        <v>286</v>
      </c>
      <c r="I11" s="43">
        <v>1.7</v>
      </c>
      <c r="J11" s="43">
        <v>7.2999999999999995E-2</v>
      </c>
      <c r="K11" s="43" t="s">
        <v>287</v>
      </c>
      <c r="L11" s="45">
        <v>0.14000000000000001</v>
      </c>
      <c r="M11" s="42" t="s">
        <v>290</v>
      </c>
      <c r="N11" s="43" t="s">
        <v>290</v>
      </c>
      <c r="O11" s="43" t="s">
        <v>232</v>
      </c>
      <c r="P11" s="43" t="s">
        <v>290</v>
      </c>
      <c r="Q11" s="43" t="s">
        <v>290</v>
      </c>
      <c r="R11" s="43" t="s">
        <v>290</v>
      </c>
      <c r="S11" s="43" t="s">
        <v>290</v>
      </c>
      <c r="T11" s="43" t="s">
        <v>290</v>
      </c>
      <c r="U11" s="43" t="s">
        <v>290</v>
      </c>
      <c r="V11" s="43" t="s">
        <v>290</v>
      </c>
      <c r="W11" s="43" t="s">
        <v>290</v>
      </c>
      <c r="X11" s="43" t="s">
        <v>290</v>
      </c>
      <c r="Y11" s="43" t="s">
        <v>290</v>
      </c>
      <c r="Z11" s="43" t="s">
        <v>290</v>
      </c>
      <c r="AA11" s="43" t="s">
        <v>290</v>
      </c>
      <c r="AB11" s="43" t="s">
        <v>290</v>
      </c>
      <c r="AC11" s="43" t="s">
        <v>290</v>
      </c>
      <c r="AD11" s="43" t="s">
        <v>290</v>
      </c>
      <c r="AE11" s="43" t="s">
        <v>290</v>
      </c>
      <c r="AF11" s="43" t="s">
        <v>290</v>
      </c>
      <c r="AG11" s="43" t="s">
        <v>290</v>
      </c>
      <c r="AH11" s="43" t="s">
        <v>290</v>
      </c>
      <c r="AI11" s="43" t="s">
        <v>290</v>
      </c>
      <c r="AJ11" s="43" t="s">
        <v>290</v>
      </c>
      <c r="AK11" s="43" t="s">
        <v>290</v>
      </c>
      <c r="AL11" s="41" t="s">
        <v>290</v>
      </c>
      <c r="AM11" s="41" t="s">
        <v>290</v>
      </c>
      <c r="AN11" s="41" t="s">
        <v>290</v>
      </c>
      <c r="AO11" s="41" t="s">
        <v>290</v>
      </c>
      <c r="AP11" s="43" t="s">
        <v>290</v>
      </c>
      <c r="AQ11" s="403"/>
      <c r="AR11" s="403">
        <v>0.6</v>
      </c>
      <c r="AS11" s="400">
        <v>1.5</v>
      </c>
      <c r="AT11" s="402">
        <v>1.4</v>
      </c>
      <c r="AU11" s="402">
        <v>0.82</v>
      </c>
      <c r="AV11" s="402">
        <v>1.7</v>
      </c>
      <c r="AW11" s="402">
        <v>2.1</v>
      </c>
      <c r="AX11" s="401">
        <v>0.86</v>
      </c>
      <c r="AY11" s="228">
        <v>9.5000000000000001E-2</v>
      </c>
      <c r="AZ11" s="228">
        <v>6</v>
      </c>
      <c r="BA11" s="228">
        <v>1.4</v>
      </c>
      <c r="BB11" s="403" t="s">
        <v>290</v>
      </c>
      <c r="BC11" s="620">
        <f t="shared" si="3"/>
        <v>1.0033333333333334</v>
      </c>
      <c r="BD11" s="617">
        <f t="shared" si="4"/>
        <v>0.96785714285714308</v>
      </c>
      <c r="BE11" s="616"/>
      <c r="BF11" s="617" t="e">
        <f t="shared" si="5"/>
        <v>#VALUE!</v>
      </c>
      <c r="BG11" s="617">
        <f t="shared" si="6"/>
        <v>1.3870967741935482E-3</v>
      </c>
      <c r="BH11" s="617">
        <f t="shared" si="7"/>
        <v>8.9583333333333334E-2</v>
      </c>
      <c r="BI11" s="617" t="e">
        <f t="shared" si="8"/>
        <v>#VALUE!</v>
      </c>
      <c r="BJ11" s="617">
        <f t="shared" si="9"/>
        <v>9.4444444444444442E-2</v>
      </c>
      <c r="BK11" s="617">
        <f t="shared" si="10"/>
        <v>1.8717948717948717E-3</v>
      </c>
      <c r="BL11" s="617" t="e">
        <f t="shared" si="11"/>
        <v>#VALUE!</v>
      </c>
      <c r="BM11" s="617">
        <f t="shared" si="12"/>
        <v>7.000000000000001E-3</v>
      </c>
      <c r="BN11" s="621" t="e">
        <f t="shared" si="13"/>
        <v>#VALUE!</v>
      </c>
      <c r="BO11" s="621" t="e">
        <f t="shared" si="14"/>
        <v>#VALUE!</v>
      </c>
      <c r="BP11" s="618" t="e">
        <f t="shared" si="15"/>
        <v>#VALUE!</v>
      </c>
      <c r="BQ11" s="616"/>
      <c r="BR11" s="615">
        <f t="shared" si="16"/>
        <v>5.9124999999999996</v>
      </c>
      <c r="BS11" s="615">
        <f t="shared" si="17"/>
        <v>0.11094</v>
      </c>
      <c r="BT11" s="615" t="e">
        <f t="shared" si="18"/>
        <v>#VALUE!</v>
      </c>
      <c r="BU11" s="615">
        <f t="shared" si="19"/>
        <v>9.6000000000000014</v>
      </c>
      <c r="BV11" s="615">
        <f t="shared" si="20"/>
        <v>1.4</v>
      </c>
      <c r="BW11" s="615" t="e">
        <f t="shared" si="21"/>
        <v>#VALUE!</v>
      </c>
      <c r="BX11" s="615" t="e">
        <f t="shared" si="0"/>
        <v>#VALUE!</v>
      </c>
      <c r="BY11" s="615" t="e">
        <f t="shared" si="22"/>
        <v>#VALUE!</v>
      </c>
      <c r="BZ11" s="615" t="e">
        <f t="shared" si="23"/>
        <v>#VALUE!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0.81081081081081074</v>
      </c>
      <c r="CE11" s="617" t="e">
        <f t="shared" si="27"/>
        <v>#VALUE!</v>
      </c>
      <c r="CF11" s="617">
        <f t="shared" si="1"/>
        <v>0.40000000000000013</v>
      </c>
      <c r="CG11" s="617">
        <f t="shared" si="2"/>
        <v>0.95499999999999996</v>
      </c>
    </row>
    <row r="12" spans="2:85" ht="20.149999999999999" customHeight="1" x14ac:dyDescent="0.2">
      <c r="B12" s="31" t="s">
        <v>202</v>
      </c>
      <c r="C12" s="46" t="s">
        <v>203</v>
      </c>
      <c r="D12" s="47">
        <v>12.8</v>
      </c>
      <c r="E12" s="630">
        <f t="shared" ref="E12:E18" si="28">0.5*0.016</f>
        <v>8.0000000000000002E-3</v>
      </c>
      <c r="F12" s="49">
        <v>0.2</v>
      </c>
      <c r="G12" s="49">
        <v>3.8</v>
      </c>
      <c r="H12" s="50">
        <v>0.03</v>
      </c>
      <c r="I12" s="49">
        <v>1.5</v>
      </c>
      <c r="J12" s="49">
        <v>6.2E-2</v>
      </c>
      <c r="K12" s="625">
        <f t="shared" ref="K12:K18" si="29">0.5*0.015</f>
        <v>7.4999999999999997E-3</v>
      </c>
      <c r="L12" s="37">
        <v>3.5999999999999997E-2</v>
      </c>
      <c r="M12" s="630">
        <f>0.5*21</f>
        <v>10.5</v>
      </c>
      <c r="N12" s="49">
        <v>78</v>
      </c>
      <c r="O12" s="49" t="s">
        <v>232</v>
      </c>
      <c r="P12" s="49">
        <v>62</v>
      </c>
      <c r="Q12" s="625">
        <f t="shared" ref="Q12:Q18" si="30">0.5*170</f>
        <v>85</v>
      </c>
      <c r="R12" s="49">
        <v>2.8000000000000001E-2</v>
      </c>
      <c r="S12" s="49" t="s">
        <v>290</v>
      </c>
      <c r="T12" s="49">
        <v>1.6</v>
      </c>
      <c r="U12" s="49">
        <v>2</v>
      </c>
      <c r="V12" s="49">
        <v>4.0999999999999996</v>
      </c>
      <c r="W12" s="49">
        <v>80</v>
      </c>
      <c r="X12" s="49">
        <v>0.39</v>
      </c>
      <c r="Y12" s="49">
        <v>1.1000000000000001</v>
      </c>
      <c r="Z12" s="49">
        <v>1.4</v>
      </c>
      <c r="AA12" s="49">
        <v>19</v>
      </c>
      <c r="AB12" s="49">
        <v>0.36</v>
      </c>
      <c r="AC12" s="49">
        <v>0.55000000000000004</v>
      </c>
      <c r="AD12" s="49">
        <v>0.15</v>
      </c>
      <c r="AE12" s="49">
        <v>0.22</v>
      </c>
      <c r="AF12" s="49" t="s">
        <v>290</v>
      </c>
      <c r="AG12" s="49">
        <f t="shared" ref="AG12:AG18" si="31">0.5*0.035</f>
        <v>1.7500000000000002E-2</v>
      </c>
      <c r="AH12" s="49">
        <v>2.9</v>
      </c>
      <c r="AI12" s="49">
        <v>4.8000000000000001E-2</v>
      </c>
      <c r="AJ12" s="49">
        <v>7.0000000000000007E-2</v>
      </c>
      <c r="AK12" s="49">
        <v>5.1999999999999998E-3</v>
      </c>
      <c r="AL12" s="627">
        <f t="shared" ref="AL12:AL18" si="32">0.5*0.023</f>
        <v>1.15E-2</v>
      </c>
      <c r="AM12" s="47">
        <v>8.5999999999999993E-2</v>
      </c>
      <c r="AN12" s="47">
        <f t="shared" ref="AN12:AN18" si="33">0.5*0.025</f>
        <v>1.2500000000000001E-2</v>
      </c>
      <c r="AO12" s="627">
        <f t="shared" ref="AO12:AO18" si="34">0.5*0.02</f>
        <v>0.01</v>
      </c>
      <c r="AP12" s="49">
        <v>2.1</v>
      </c>
      <c r="AQ12" s="395"/>
      <c r="AR12" s="395">
        <v>0.5</v>
      </c>
      <c r="AS12" s="407">
        <v>1.2</v>
      </c>
      <c r="AT12" s="409">
        <v>1.2</v>
      </c>
      <c r="AU12" s="409">
        <v>0.64</v>
      </c>
      <c r="AV12" s="409">
        <v>1.2</v>
      </c>
      <c r="AW12" s="409">
        <v>1.5</v>
      </c>
      <c r="AX12" s="408">
        <v>1.1000000000000001</v>
      </c>
      <c r="AY12" s="237">
        <v>8.5000000000000006E-2</v>
      </c>
      <c r="AZ12" s="237">
        <v>4.7</v>
      </c>
      <c r="BA12" s="237">
        <v>1.5</v>
      </c>
      <c r="BB12" s="395">
        <v>4.2</v>
      </c>
      <c r="BC12" s="619">
        <f t="shared" si="3"/>
        <v>1.0085106382978724</v>
      </c>
      <c r="BD12" s="610">
        <f t="shared" si="4"/>
        <v>0.9900000000000001</v>
      </c>
      <c r="BF12" s="610">
        <f t="shared" si="5"/>
        <v>2.2535211267605634E-4</v>
      </c>
      <c r="BG12" s="610">
        <f t="shared" si="6"/>
        <v>3.2258064516129032E-3</v>
      </c>
      <c r="BH12" s="610">
        <f t="shared" si="7"/>
        <v>7.9166666666666663E-2</v>
      </c>
      <c r="BI12" s="610">
        <f t="shared" si="8"/>
        <v>1.3043478260869564E-3</v>
      </c>
      <c r="BJ12" s="610">
        <f t="shared" si="9"/>
        <v>8.3333333333333329E-2</v>
      </c>
      <c r="BK12" s="610">
        <f t="shared" si="10"/>
        <v>1.5897435897435897E-3</v>
      </c>
      <c r="BL12" s="610">
        <f t="shared" si="11"/>
        <v>6.1728395061728394E-4</v>
      </c>
      <c r="BM12" s="610">
        <f t="shared" si="12"/>
        <v>1.8E-3</v>
      </c>
      <c r="BN12" s="563">
        <f t="shared" si="13"/>
        <v>82.617825230955617</v>
      </c>
      <c r="BO12" s="563">
        <f t="shared" si="14"/>
        <v>88.644708699781162</v>
      </c>
      <c r="BP12" s="611">
        <f t="shared" si="15"/>
        <v>0.93201079277910215</v>
      </c>
      <c r="BR12" s="564">
        <f t="shared" si="16"/>
        <v>5.2249999999999996</v>
      </c>
      <c r="BS12" s="564">
        <f t="shared" si="17"/>
        <v>0.25800000000000001</v>
      </c>
      <c r="BT12" s="564">
        <f t="shared" si="18"/>
        <v>7.4999999999999997E-2</v>
      </c>
      <c r="BU12" s="564">
        <f t="shared" si="19"/>
        <v>7.5200000000000005</v>
      </c>
      <c r="BV12" s="564">
        <f t="shared" si="20"/>
        <v>1.5</v>
      </c>
      <c r="BW12" s="564">
        <f t="shared" si="21"/>
        <v>0.71682000000000001</v>
      </c>
      <c r="BX12" s="564">
        <f t="shared" si="0"/>
        <v>0.11899999999999999</v>
      </c>
      <c r="BY12" s="564">
        <f t="shared" si="22"/>
        <v>0.1104</v>
      </c>
      <c r="BZ12" s="564"/>
      <c r="CA12" s="564">
        <f t="shared" si="24"/>
        <v>15.52422</v>
      </c>
      <c r="CB12" s="611">
        <f t="shared" si="25"/>
        <v>1.2128296875</v>
      </c>
      <c r="CC12" s="610"/>
      <c r="CD12" s="610">
        <f t="shared" si="26"/>
        <v>0.75806451612903225</v>
      </c>
      <c r="CE12" s="610">
        <f t="shared" si="27"/>
        <v>0.8936170212765957</v>
      </c>
      <c r="CF12" s="610">
        <f t="shared" si="1"/>
        <v>0.30000000000000004</v>
      </c>
      <c r="CG12" s="610">
        <f t="shared" si="2"/>
        <v>1.1850000000000001</v>
      </c>
    </row>
    <row r="13" spans="2:85" ht="20.149999999999999" customHeight="1" x14ac:dyDescent="0.2">
      <c r="B13" s="31" t="s">
        <v>202</v>
      </c>
      <c r="C13" s="40" t="s">
        <v>204</v>
      </c>
      <c r="D13" s="33">
        <v>16.600000000000001</v>
      </c>
      <c r="E13" s="623">
        <f t="shared" si="28"/>
        <v>8.0000000000000002E-3</v>
      </c>
      <c r="F13" s="35">
        <v>0.11</v>
      </c>
      <c r="G13" s="35">
        <v>2.2000000000000002</v>
      </c>
      <c r="H13" s="646">
        <f>0.5*0.0096</f>
        <v>4.7999999999999996E-3</v>
      </c>
      <c r="I13" s="35">
        <v>0.8</v>
      </c>
      <c r="J13" s="624">
        <f>0.5*0.03</f>
        <v>1.4999999999999999E-2</v>
      </c>
      <c r="K13" s="624">
        <f t="shared" si="29"/>
        <v>7.4999999999999997E-3</v>
      </c>
      <c r="L13" s="32">
        <v>0.02</v>
      </c>
      <c r="M13" s="623">
        <f>0.5*21</f>
        <v>10.5</v>
      </c>
      <c r="N13" s="624">
        <f>0.5*55</f>
        <v>27.5</v>
      </c>
      <c r="O13" s="35" t="s">
        <v>232</v>
      </c>
      <c r="P13" s="35">
        <v>37</v>
      </c>
      <c r="Q13" s="624">
        <f t="shared" si="30"/>
        <v>85</v>
      </c>
      <c r="R13" s="624">
        <f t="shared" ref="R13:R18" si="35">0.5*0.012</f>
        <v>6.0000000000000001E-3</v>
      </c>
      <c r="S13" s="35" t="s">
        <v>290</v>
      </c>
      <c r="T13" s="35">
        <v>1.1000000000000001</v>
      </c>
      <c r="U13" s="624">
        <f t="shared" ref="U13:U18" si="36">0.5*1.1</f>
        <v>0.55000000000000004</v>
      </c>
      <c r="V13" s="35">
        <v>2.6</v>
      </c>
      <c r="W13" s="35">
        <v>40</v>
      </c>
      <c r="X13" s="35">
        <f t="shared" ref="X13:X18" si="37">0.5*0.23</f>
        <v>0.115</v>
      </c>
      <c r="Y13" s="624">
        <f>0.5*0.85</f>
        <v>0.42499999999999999</v>
      </c>
      <c r="Z13" s="35">
        <v>1.1000000000000001</v>
      </c>
      <c r="AA13" s="35">
        <v>8.6999999999999993</v>
      </c>
      <c r="AB13" s="35">
        <v>0.49</v>
      </c>
      <c r="AC13" s="35">
        <v>0.48</v>
      </c>
      <c r="AD13" s="35">
        <v>0.11</v>
      </c>
      <c r="AE13" s="35">
        <v>0.2</v>
      </c>
      <c r="AF13" s="35" t="s">
        <v>290</v>
      </c>
      <c r="AG13" s="35">
        <f t="shared" si="31"/>
        <v>1.7500000000000002E-2</v>
      </c>
      <c r="AH13" s="35">
        <v>2</v>
      </c>
      <c r="AI13" s="35">
        <v>2.1000000000000001E-2</v>
      </c>
      <c r="AJ13" s="35">
        <v>3.5999999999999997E-2</v>
      </c>
      <c r="AK13" s="35">
        <f>0.5*0.0019</f>
        <v>9.5E-4</v>
      </c>
      <c r="AL13" s="628">
        <f t="shared" si="32"/>
        <v>1.15E-2</v>
      </c>
      <c r="AM13" s="33">
        <v>9.6000000000000002E-2</v>
      </c>
      <c r="AN13" s="33">
        <f t="shared" si="33"/>
        <v>1.2500000000000001E-2</v>
      </c>
      <c r="AO13" s="628">
        <f t="shared" si="34"/>
        <v>0.01</v>
      </c>
      <c r="AP13" s="35">
        <v>1.6</v>
      </c>
      <c r="AQ13" s="391"/>
      <c r="AR13" s="391">
        <v>0.17</v>
      </c>
      <c r="AS13" s="392">
        <v>0.77</v>
      </c>
      <c r="AT13" s="394">
        <v>0.73</v>
      </c>
      <c r="AU13" s="394">
        <v>0.51</v>
      </c>
      <c r="AV13" s="394">
        <v>0.59</v>
      </c>
      <c r="AW13" s="394">
        <v>0.74</v>
      </c>
      <c r="AX13" s="393">
        <v>1.1000000000000001</v>
      </c>
      <c r="AY13" s="219">
        <v>8.5000000000000006E-2</v>
      </c>
      <c r="AZ13" s="219">
        <v>2.8</v>
      </c>
      <c r="BA13" s="219">
        <v>1.3</v>
      </c>
      <c r="BB13" s="391">
        <v>2</v>
      </c>
      <c r="BC13" s="619">
        <f t="shared" si="3"/>
        <v>0.98928571428571421</v>
      </c>
      <c r="BD13" s="610">
        <f t="shared" si="4"/>
        <v>1.0269230769230768</v>
      </c>
      <c r="BF13" s="610">
        <f t="shared" si="5"/>
        <v>2.2535211267605634E-4</v>
      </c>
      <c r="BG13" s="610">
        <f t="shared" si="6"/>
        <v>1.7741935483870969E-3</v>
      </c>
      <c r="BH13" s="610">
        <f t="shared" si="7"/>
        <v>4.5833333333333337E-2</v>
      </c>
      <c r="BI13" s="610">
        <f t="shared" si="8"/>
        <v>2.0869565217391303E-4</v>
      </c>
      <c r="BJ13" s="610">
        <f t="shared" si="9"/>
        <v>4.4444444444444446E-2</v>
      </c>
      <c r="BK13" s="610">
        <f t="shared" si="10"/>
        <v>3.8461538461538462E-4</v>
      </c>
      <c r="BL13" s="610">
        <f t="shared" si="11"/>
        <v>6.1728395061728394E-4</v>
      </c>
      <c r="BM13" s="610">
        <f t="shared" si="12"/>
        <v>1E-3</v>
      </c>
      <c r="BN13" s="563">
        <f t="shared" si="13"/>
        <v>47.832878994396488</v>
      </c>
      <c r="BO13" s="563">
        <f t="shared" si="14"/>
        <v>46.65503943185103</v>
      </c>
      <c r="BP13" s="611">
        <f t="shared" si="15"/>
        <v>1.0252457092929035</v>
      </c>
      <c r="BR13" s="564">
        <f t="shared" si="16"/>
        <v>3.0250000000000004</v>
      </c>
      <c r="BS13" s="564">
        <f t="shared" si="17"/>
        <v>0.1419</v>
      </c>
      <c r="BT13" s="564">
        <f t="shared" si="18"/>
        <v>1.1999999999999999E-2</v>
      </c>
      <c r="BU13" s="564">
        <f t="shared" si="19"/>
        <v>4.4799999999999995</v>
      </c>
      <c r="BV13" s="564">
        <f t="shared" si="20"/>
        <v>1.3</v>
      </c>
      <c r="BW13" s="564">
        <f t="shared" si="21"/>
        <v>0.25272500000000003</v>
      </c>
      <c r="BX13" s="564">
        <f t="shared" si="0"/>
        <v>0.11899999999999999</v>
      </c>
      <c r="BY13" s="564">
        <f t="shared" si="22"/>
        <v>5.5199999999999999E-2</v>
      </c>
      <c r="BZ13" s="564"/>
      <c r="CA13" s="564">
        <f t="shared" si="24"/>
        <v>9.3858249999999988</v>
      </c>
      <c r="CB13" s="611">
        <f t="shared" si="25"/>
        <v>0.5654111445783131</v>
      </c>
      <c r="CC13" s="610"/>
      <c r="CD13" s="610">
        <f t="shared" si="26"/>
        <v>0.68292682926829273</v>
      </c>
      <c r="CE13" s="610">
        <f t="shared" si="27"/>
        <v>0.7142857142857143</v>
      </c>
      <c r="CF13" s="610">
        <f t="shared" ref="CF13:CF20" si="38">IF(AW13-AV13&gt;0,AW13-AV13,0)</f>
        <v>0.15000000000000002</v>
      </c>
      <c r="CG13" s="610">
        <f t="shared" ref="CG13:CG20" si="39">IF(AW13-AV13&gt;0,AX13+AY13,AW13+AX13+AY13-AV13)</f>
        <v>1.1850000000000001</v>
      </c>
    </row>
    <row r="14" spans="2:85" ht="20.149999999999999" customHeight="1" x14ac:dyDescent="0.2">
      <c r="B14" s="31" t="s">
        <v>202</v>
      </c>
      <c r="C14" s="32" t="s">
        <v>205</v>
      </c>
      <c r="D14" s="33">
        <v>17.3</v>
      </c>
      <c r="E14" s="623">
        <f t="shared" si="28"/>
        <v>8.0000000000000002E-3</v>
      </c>
      <c r="F14" s="35">
        <v>8.4000000000000005E-2</v>
      </c>
      <c r="G14" s="35">
        <v>4.7</v>
      </c>
      <c r="H14" s="36">
        <v>6.3E-2</v>
      </c>
      <c r="I14" s="35">
        <v>1.7</v>
      </c>
      <c r="J14" s="35">
        <v>5.7000000000000002E-2</v>
      </c>
      <c r="K14" s="624">
        <f t="shared" si="29"/>
        <v>7.4999999999999997E-3</v>
      </c>
      <c r="L14" s="32">
        <v>2.9000000000000001E-2</v>
      </c>
      <c r="M14" s="34">
        <v>64</v>
      </c>
      <c r="N14" s="35">
        <v>59</v>
      </c>
      <c r="O14" s="35" t="s">
        <v>232</v>
      </c>
      <c r="P14" s="35">
        <v>61</v>
      </c>
      <c r="Q14" s="624">
        <f t="shared" si="30"/>
        <v>85</v>
      </c>
      <c r="R14" s="624">
        <f t="shared" si="35"/>
        <v>6.0000000000000001E-3</v>
      </c>
      <c r="S14" s="35" t="s">
        <v>290</v>
      </c>
      <c r="T14" s="35">
        <v>2.6</v>
      </c>
      <c r="U14" s="624">
        <f t="shared" si="36"/>
        <v>0.55000000000000004</v>
      </c>
      <c r="V14" s="35">
        <v>4.2</v>
      </c>
      <c r="W14" s="35">
        <v>70</v>
      </c>
      <c r="X14" s="35">
        <f t="shared" si="37"/>
        <v>0.115</v>
      </c>
      <c r="Y14" s="624">
        <f>0.5*0.85</f>
        <v>0.42499999999999999</v>
      </c>
      <c r="Z14" s="35">
        <v>1.8</v>
      </c>
      <c r="AA14" s="35">
        <v>17</v>
      </c>
      <c r="AB14" s="35">
        <v>0.74</v>
      </c>
      <c r="AC14" s="35">
        <v>0.82</v>
      </c>
      <c r="AD14" s="35">
        <v>0.14000000000000001</v>
      </c>
      <c r="AE14" s="35">
        <v>0.37</v>
      </c>
      <c r="AF14" s="35" t="s">
        <v>290</v>
      </c>
      <c r="AG14" s="35">
        <f t="shared" si="31"/>
        <v>1.7500000000000002E-2</v>
      </c>
      <c r="AH14" s="35">
        <v>3.4</v>
      </c>
      <c r="AI14" s="35">
        <v>7.5999999999999998E-2</v>
      </c>
      <c r="AJ14" s="35">
        <v>7.2999999999999995E-2</v>
      </c>
      <c r="AK14" s="35">
        <v>4.3E-3</v>
      </c>
      <c r="AL14" s="628">
        <f t="shared" si="32"/>
        <v>1.15E-2</v>
      </c>
      <c r="AM14" s="33">
        <v>0.15</v>
      </c>
      <c r="AN14" s="33">
        <f t="shared" si="33"/>
        <v>1.2500000000000001E-2</v>
      </c>
      <c r="AO14" s="628">
        <f t="shared" si="34"/>
        <v>0.01</v>
      </c>
      <c r="AP14" s="35">
        <v>3.9</v>
      </c>
      <c r="AQ14" s="391"/>
      <c r="AR14" s="391">
        <v>0.17</v>
      </c>
      <c r="AS14" s="392">
        <v>0.77</v>
      </c>
      <c r="AT14" s="394">
        <v>0.65</v>
      </c>
      <c r="AU14" s="394">
        <v>0.48</v>
      </c>
      <c r="AV14" s="394">
        <v>0.71</v>
      </c>
      <c r="AW14" s="394">
        <v>0.75</v>
      </c>
      <c r="AX14" s="393">
        <v>1</v>
      </c>
      <c r="AY14" s="219">
        <v>7.4999999999999997E-2</v>
      </c>
      <c r="AZ14" s="219">
        <v>2.8</v>
      </c>
      <c r="BA14" s="219">
        <v>1.1000000000000001</v>
      </c>
      <c r="BB14" s="391">
        <v>2.8</v>
      </c>
      <c r="BC14" s="619">
        <f t="shared" si="3"/>
        <v>0.99285714285714299</v>
      </c>
      <c r="BD14" s="610">
        <f t="shared" si="4"/>
        <v>1.0136363636363634</v>
      </c>
      <c r="BF14" s="610">
        <f t="shared" si="5"/>
        <v>2.2535211267605634E-4</v>
      </c>
      <c r="BG14" s="610">
        <f t="shared" si="6"/>
        <v>1.3548387096774194E-3</v>
      </c>
      <c r="BH14" s="610">
        <f t="shared" si="7"/>
        <v>9.7916666666666666E-2</v>
      </c>
      <c r="BI14" s="610">
        <f t="shared" si="8"/>
        <v>2.7391304347826086E-3</v>
      </c>
      <c r="BJ14" s="610">
        <f t="shared" si="9"/>
        <v>9.4444444444444442E-2</v>
      </c>
      <c r="BK14" s="610">
        <f t="shared" si="10"/>
        <v>1.4615384615384616E-3</v>
      </c>
      <c r="BL14" s="610">
        <f t="shared" si="11"/>
        <v>6.1728395061728394E-4</v>
      </c>
      <c r="BM14" s="610">
        <f t="shared" si="12"/>
        <v>1.4500000000000001E-3</v>
      </c>
      <c r="BN14" s="563">
        <f t="shared" si="13"/>
        <v>99.496857489020144</v>
      </c>
      <c r="BO14" s="563">
        <f t="shared" si="14"/>
        <v>100.7123972913828</v>
      </c>
      <c r="BP14" s="611">
        <f t="shared" si="15"/>
        <v>0.9879305841678474</v>
      </c>
      <c r="BR14" s="564">
        <f t="shared" si="16"/>
        <v>6.4625000000000004</v>
      </c>
      <c r="BS14" s="564">
        <f t="shared" si="17"/>
        <v>0.10836000000000001</v>
      </c>
      <c r="BT14" s="564">
        <f t="shared" si="18"/>
        <v>0.1575</v>
      </c>
      <c r="BU14" s="564">
        <f t="shared" si="19"/>
        <v>4.4799999999999995</v>
      </c>
      <c r="BV14" s="564">
        <f t="shared" si="20"/>
        <v>1.1000000000000001</v>
      </c>
      <c r="BW14" s="564">
        <f t="shared" si="21"/>
        <v>0.54220999999999997</v>
      </c>
      <c r="BX14" s="564">
        <f t="shared" si="0"/>
        <v>0.11899999999999999</v>
      </c>
      <c r="BY14" s="564">
        <f t="shared" si="22"/>
        <v>9.6600000000000005E-2</v>
      </c>
      <c r="BZ14" s="564"/>
      <c r="CA14" s="564">
        <f t="shared" si="24"/>
        <v>13.06617</v>
      </c>
      <c r="CB14" s="611">
        <f t="shared" si="25"/>
        <v>0.75526994219653176</v>
      </c>
      <c r="CC14" s="610"/>
      <c r="CD14" s="610">
        <f t="shared" si="26"/>
        <v>0.71794871794871795</v>
      </c>
      <c r="CE14" s="610">
        <f t="shared" si="27"/>
        <v>1</v>
      </c>
      <c r="CF14" s="610">
        <f t="shared" si="38"/>
        <v>4.0000000000000036E-2</v>
      </c>
      <c r="CG14" s="610">
        <f t="shared" si="39"/>
        <v>1.075</v>
      </c>
    </row>
    <row r="15" spans="2:85" ht="20.149999999999999" customHeight="1" x14ac:dyDescent="0.2">
      <c r="B15" s="31" t="s">
        <v>202</v>
      </c>
      <c r="C15" s="32" t="s">
        <v>206</v>
      </c>
      <c r="D15" s="33">
        <v>14.7</v>
      </c>
      <c r="E15" s="623">
        <f t="shared" si="28"/>
        <v>8.0000000000000002E-3</v>
      </c>
      <c r="F15" s="35">
        <v>7.2999999999999995E-2</v>
      </c>
      <c r="G15" s="35">
        <v>4.0999999999999996</v>
      </c>
      <c r="H15" s="36">
        <v>1.2999999999999999E-2</v>
      </c>
      <c r="I15" s="35">
        <v>1.5</v>
      </c>
      <c r="J15" s="35">
        <v>4.8000000000000001E-2</v>
      </c>
      <c r="K15" s="624">
        <f t="shared" si="29"/>
        <v>7.4999999999999997E-3</v>
      </c>
      <c r="L15" s="32">
        <v>2.1999999999999999E-2</v>
      </c>
      <c r="M15" s="623">
        <f>0.5*21</f>
        <v>10.5</v>
      </c>
      <c r="N15" s="624">
        <f>0.5*55</f>
        <v>27.5</v>
      </c>
      <c r="O15" s="35" t="s">
        <v>232</v>
      </c>
      <c r="P15" s="35">
        <v>49</v>
      </c>
      <c r="Q15" s="624">
        <f t="shared" si="30"/>
        <v>85</v>
      </c>
      <c r="R15" s="624">
        <f t="shared" si="35"/>
        <v>6.0000000000000001E-3</v>
      </c>
      <c r="S15" s="35" t="s">
        <v>290</v>
      </c>
      <c r="T15" s="35">
        <v>2.2000000000000002</v>
      </c>
      <c r="U15" s="624">
        <f t="shared" si="36"/>
        <v>0.55000000000000004</v>
      </c>
      <c r="V15" s="35">
        <v>4.4000000000000004</v>
      </c>
      <c r="W15" s="35">
        <v>65</v>
      </c>
      <c r="X15" s="35">
        <f t="shared" si="37"/>
        <v>0.115</v>
      </c>
      <c r="Y15" s="624">
        <f>0.5*0.85</f>
        <v>0.42499999999999999</v>
      </c>
      <c r="Z15" s="35">
        <v>1.2</v>
      </c>
      <c r="AA15" s="35">
        <v>15</v>
      </c>
      <c r="AB15" s="35">
        <v>0.54</v>
      </c>
      <c r="AC15" s="35">
        <v>0.62</v>
      </c>
      <c r="AD15" s="35">
        <v>0.15</v>
      </c>
      <c r="AE15" s="35">
        <v>0.25</v>
      </c>
      <c r="AF15" s="35" t="s">
        <v>290</v>
      </c>
      <c r="AG15" s="35">
        <f t="shared" si="31"/>
        <v>1.7500000000000002E-2</v>
      </c>
      <c r="AH15" s="35">
        <v>2.1</v>
      </c>
      <c r="AI15" s="35">
        <v>4.2000000000000003E-2</v>
      </c>
      <c r="AJ15" s="35">
        <v>6.0999999999999999E-2</v>
      </c>
      <c r="AK15" s="35">
        <v>4.7999999999999996E-3</v>
      </c>
      <c r="AL15" s="628">
        <f t="shared" si="32"/>
        <v>1.15E-2</v>
      </c>
      <c r="AM15" s="628">
        <f>0.5*0.084</f>
        <v>4.2000000000000003E-2</v>
      </c>
      <c r="AN15" s="33">
        <f t="shared" si="33"/>
        <v>1.2500000000000001E-2</v>
      </c>
      <c r="AO15" s="628">
        <f t="shared" si="34"/>
        <v>0.01</v>
      </c>
      <c r="AP15" s="35">
        <v>3.8</v>
      </c>
      <c r="AQ15" s="391"/>
      <c r="AR15" s="391">
        <v>0.2</v>
      </c>
      <c r="AS15" s="392">
        <v>0.96</v>
      </c>
      <c r="AT15" s="394">
        <v>0.79</v>
      </c>
      <c r="AU15" s="394">
        <v>0.51</v>
      </c>
      <c r="AV15" s="394">
        <v>0.95</v>
      </c>
      <c r="AW15" s="394">
        <v>1.1000000000000001</v>
      </c>
      <c r="AX15" s="393">
        <v>1.2</v>
      </c>
      <c r="AY15" s="219">
        <v>8.5000000000000006E-2</v>
      </c>
      <c r="AZ15" s="219">
        <v>3.4</v>
      </c>
      <c r="BA15" s="219">
        <v>1.4</v>
      </c>
      <c r="BB15" s="391">
        <v>2.2999999999999998</v>
      </c>
      <c r="BC15" s="619">
        <f t="shared" si="3"/>
        <v>1.0029411764705882</v>
      </c>
      <c r="BD15" s="610">
        <f t="shared" si="4"/>
        <v>1.0249999999999999</v>
      </c>
      <c r="BF15" s="610">
        <f t="shared" si="5"/>
        <v>2.2535211267605634E-4</v>
      </c>
      <c r="BG15" s="610">
        <f t="shared" si="6"/>
        <v>1.1774193548387097E-3</v>
      </c>
      <c r="BH15" s="610">
        <f t="shared" si="7"/>
        <v>8.5416666666666655E-2</v>
      </c>
      <c r="BI15" s="610">
        <f t="shared" si="8"/>
        <v>5.6521739130434778E-4</v>
      </c>
      <c r="BJ15" s="610">
        <f t="shared" si="9"/>
        <v>8.3333333333333329E-2</v>
      </c>
      <c r="BK15" s="610">
        <f t="shared" si="10"/>
        <v>1.2307692307692308E-3</v>
      </c>
      <c r="BL15" s="610">
        <f t="shared" si="11"/>
        <v>6.1728395061728394E-4</v>
      </c>
      <c r="BM15" s="610">
        <f t="shared" si="12"/>
        <v>1.0999999999999998E-3</v>
      </c>
      <c r="BN15" s="563">
        <f t="shared" si="13"/>
        <v>86.819438134181411</v>
      </c>
      <c r="BO15" s="563">
        <f t="shared" si="14"/>
        <v>86.8466039060242</v>
      </c>
      <c r="BP15" s="611">
        <f t="shared" si="15"/>
        <v>0.99968719822513519</v>
      </c>
      <c r="BR15" s="564">
        <f t="shared" si="16"/>
        <v>5.6374999999999993</v>
      </c>
      <c r="BS15" s="564">
        <f t="shared" si="17"/>
        <v>9.416999999999999E-2</v>
      </c>
      <c r="BT15" s="564">
        <f t="shared" si="18"/>
        <v>3.2500000000000001E-2</v>
      </c>
      <c r="BU15" s="564">
        <f t="shared" si="19"/>
        <v>5.44</v>
      </c>
      <c r="BV15" s="564">
        <f t="shared" si="20"/>
        <v>1.4</v>
      </c>
      <c r="BW15" s="564">
        <f t="shared" si="21"/>
        <v>0.25272500000000003</v>
      </c>
      <c r="BX15" s="564">
        <f t="shared" si="0"/>
        <v>0.11899999999999999</v>
      </c>
      <c r="BY15" s="564">
        <f t="shared" si="22"/>
        <v>8.9700000000000002E-2</v>
      </c>
      <c r="BZ15" s="564"/>
      <c r="CA15" s="564">
        <f t="shared" si="24"/>
        <v>13.065595</v>
      </c>
      <c r="CB15" s="611">
        <f t="shared" si="25"/>
        <v>0.88881598639455783</v>
      </c>
      <c r="CC15" s="610"/>
      <c r="CD15" s="610">
        <f t="shared" si="26"/>
        <v>0.70833333333333337</v>
      </c>
      <c r="CE15" s="610">
        <f t="shared" si="27"/>
        <v>0.67647058823529405</v>
      </c>
      <c r="CF15" s="610">
        <f t="shared" si="38"/>
        <v>0.15000000000000013</v>
      </c>
      <c r="CG15" s="610">
        <f t="shared" si="39"/>
        <v>1.2849999999999999</v>
      </c>
    </row>
    <row r="16" spans="2:85" ht="20.149999999999999" customHeight="1" x14ac:dyDescent="0.2">
      <c r="B16" s="31" t="s">
        <v>202</v>
      </c>
      <c r="C16" s="32" t="s">
        <v>207</v>
      </c>
      <c r="D16" s="33">
        <v>24.6</v>
      </c>
      <c r="E16" s="623">
        <f t="shared" si="28"/>
        <v>8.0000000000000002E-3</v>
      </c>
      <c r="F16" s="35">
        <v>0.41</v>
      </c>
      <c r="G16" s="35">
        <v>6.9</v>
      </c>
      <c r="H16" s="36">
        <v>0.04</v>
      </c>
      <c r="I16" s="35">
        <v>2.6</v>
      </c>
      <c r="J16" s="35">
        <v>0.1</v>
      </c>
      <c r="K16" s="624">
        <f t="shared" si="29"/>
        <v>7.4999999999999997E-3</v>
      </c>
      <c r="L16" s="32">
        <v>3.9E-2</v>
      </c>
      <c r="M16" s="34">
        <v>27</v>
      </c>
      <c r="N16" s="35">
        <v>75</v>
      </c>
      <c r="O16" s="35" t="s">
        <v>232</v>
      </c>
      <c r="P16" s="35">
        <v>100</v>
      </c>
      <c r="Q16" s="624">
        <f t="shared" si="30"/>
        <v>85</v>
      </c>
      <c r="R16" s="624">
        <f t="shared" si="35"/>
        <v>6.0000000000000001E-3</v>
      </c>
      <c r="S16" s="35" t="s">
        <v>290</v>
      </c>
      <c r="T16" s="35">
        <v>3.7</v>
      </c>
      <c r="U16" s="624">
        <f t="shared" si="36"/>
        <v>0.55000000000000004</v>
      </c>
      <c r="V16" s="35">
        <v>7</v>
      </c>
      <c r="W16" s="35">
        <v>98</v>
      </c>
      <c r="X16" s="35">
        <f t="shared" si="37"/>
        <v>0.115</v>
      </c>
      <c r="Y16" s="35">
        <v>1</v>
      </c>
      <c r="Z16" s="35">
        <v>2.7</v>
      </c>
      <c r="AA16" s="35">
        <v>28</v>
      </c>
      <c r="AB16" s="35">
        <v>0.98</v>
      </c>
      <c r="AC16" s="35">
        <v>0.89</v>
      </c>
      <c r="AD16" s="35">
        <v>0.21</v>
      </c>
      <c r="AE16" s="35">
        <v>0.62</v>
      </c>
      <c r="AF16" s="35" t="s">
        <v>290</v>
      </c>
      <c r="AG16" s="35">
        <f t="shared" si="31"/>
        <v>1.7500000000000002E-2</v>
      </c>
      <c r="AH16" s="35">
        <v>4.5999999999999996</v>
      </c>
      <c r="AI16" s="35">
        <v>7.9000000000000001E-2</v>
      </c>
      <c r="AJ16" s="35">
        <v>0.11</v>
      </c>
      <c r="AK16" s="35">
        <v>4.8999999999999998E-3</v>
      </c>
      <c r="AL16" s="628">
        <f t="shared" si="32"/>
        <v>1.15E-2</v>
      </c>
      <c r="AM16" s="33">
        <v>0.12</v>
      </c>
      <c r="AN16" s="33">
        <f t="shared" si="33"/>
        <v>1.2500000000000001E-2</v>
      </c>
      <c r="AO16" s="628">
        <f t="shared" si="34"/>
        <v>0.01</v>
      </c>
      <c r="AP16" s="35">
        <v>5.0999999999999996</v>
      </c>
      <c r="AQ16" s="391"/>
      <c r="AR16" s="391">
        <v>0.36</v>
      </c>
      <c r="AS16" s="392">
        <v>1.2</v>
      </c>
      <c r="AT16" s="394">
        <v>0.87</v>
      </c>
      <c r="AU16" s="394">
        <v>0.62</v>
      </c>
      <c r="AV16" s="394">
        <v>1.2</v>
      </c>
      <c r="AW16" s="394">
        <v>1.6</v>
      </c>
      <c r="AX16" s="393">
        <v>1</v>
      </c>
      <c r="AY16" s="219">
        <v>7.4999999999999997E-2</v>
      </c>
      <c r="AZ16" s="219">
        <v>4.3</v>
      </c>
      <c r="BA16" s="219">
        <v>1.5</v>
      </c>
      <c r="BB16" s="391">
        <v>4</v>
      </c>
      <c r="BC16" s="619">
        <f t="shared" si="3"/>
        <v>0.9883720930232559</v>
      </c>
      <c r="BD16" s="610">
        <f t="shared" si="4"/>
        <v>0.9833333333333335</v>
      </c>
      <c r="BF16" s="610">
        <f t="shared" si="5"/>
        <v>2.2535211267605634E-4</v>
      </c>
      <c r="BG16" s="610">
        <f t="shared" si="6"/>
        <v>6.6129032258064515E-3</v>
      </c>
      <c r="BH16" s="610">
        <f t="shared" si="7"/>
        <v>0.14375000000000002</v>
      </c>
      <c r="BI16" s="610">
        <f t="shared" si="8"/>
        <v>1.7391304347826088E-3</v>
      </c>
      <c r="BJ16" s="610">
        <f t="shared" si="9"/>
        <v>0.14444444444444446</v>
      </c>
      <c r="BK16" s="610">
        <f t="shared" si="10"/>
        <v>2.5641025641025641E-3</v>
      </c>
      <c r="BL16" s="610">
        <f t="shared" si="11"/>
        <v>6.1728395061728394E-4</v>
      </c>
      <c r="BM16" s="610">
        <f t="shared" si="12"/>
        <v>1.9499999999999999E-3</v>
      </c>
      <c r="BN16" s="563">
        <f t="shared" si="13"/>
        <v>150.58825533848253</v>
      </c>
      <c r="BO16" s="563">
        <f t="shared" si="14"/>
        <v>151.3149613939469</v>
      </c>
      <c r="BP16" s="611">
        <f t="shared" si="15"/>
        <v>0.99519739456845646</v>
      </c>
      <c r="BR16" s="564">
        <f t="shared" si="16"/>
        <v>9.4875000000000007</v>
      </c>
      <c r="BS16" s="564">
        <f t="shared" si="17"/>
        <v>0.52890000000000004</v>
      </c>
      <c r="BT16" s="564">
        <f t="shared" si="18"/>
        <v>0.1</v>
      </c>
      <c r="BU16" s="564">
        <f t="shared" si="19"/>
        <v>6.88</v>
      </c>
      <c r="BV16" s="564">
        <f t="shared" si="20"/>
        <v>1.5</v>
      </c>
      <c r="BW16" s="564">
        <f t="shared" si="21"/>
        <v>0.68925000000000003</v>
      </c>
      <c r="BX16" s="564">
        <f t="shared" si="0"/>
        <v>0.11899999999999999</v>
      </c>
      <c r="BY16" s="564">
        <f t="shared" si="22"/>
        <v>0.13524</v>
      </c>
      <c r="BZ16" s="564"/>
      <c r="CA16" s="564">
        <f t="shared" si="24"/>
        <v>19.439890000000002</v>
      </c>
      <c r="CB16" s="611">
        <f t="shared" si="25"/>
        <v>0.79023943089430893</v>
      </c>
      <c r="CC16" s="610"/>
      <c r="CD16" s="610">
        <f t="shared" si="26"/>
        <v>0.74137931034482762</v>
      </c>
      <c r="CE16" s="610">
        <f t="shared" si="27"/>
        <v>0.93023255813953487</v>
      </c>
      <c r="CF16" s="610">
        <f t="shared" si="38"/>
        <v>0.40000000000000013</v>
      </c>
      <c r="CG16" s="610">
        <f t="shared" si="39"/>
        <v>1.075</v>
      </c>
    </row>
    <row r="17" spans="2:85" ht="20.149999999999999" customHeight="1" x14ac:dyDescent="0.2">
      <c r="B17" s="31" t="s">
        <v>202</v>
      </c>
      <c r="C17" s="32" t="s">
        <v>208</v>
      </c>
      <c r="D17" s="33">
        <v>18.899999999999999</v>
      </c>
      <c r="E17" s="623">
        <f t="shared" si="28"/>
        <v>8.0000000000000002E-3</v>
      </c>
      <c r="F17" s="35">
        <v>0.19</v>
      </c>
      <c r="G17" s="35">
        <v>5.8</v>
      </c>
      <c r="H17" s="36">
        <v>1.4E-2</v>
      </c>
      <c r="I17" s="35">
        <v>1.9</v>
      </c>
      <c r="J17" s="35">
        <v>7.5999999999999998E-2</v>
      </c>
      <c r="K17" s="624">
        <f t="shared" si="29"/>
        <v>7.4999999999999997E-3</v>
      </c>
      <c r="L17" s="32">
        <v>2.8000000000000001E-2</v>
      </c>
      <c r="M17" s="623">
        <f>0.5*21</f>
        <v>10.5</v>
      </c>
      <c r="N17" s="35">
        <v>56</v>
      </c>
      <c r="O17" s="35" t="s">
        <v>232</v>
      </c>
      <c r="P17" s="35">
        <v>75</v>
      </c>
      <c r="Q17" s="624">
        <f t="shared" si="30"/>
        <v>85</v>
      </c>
      <c r="R17" s="624">
        <f t="shared" si="35"/>
        <v>6.0000000000000001E-3</v>
      </c>
      <c r="S17" s="35" t="s">
        <v>290</v>
      </c>
      <c r="T17" s="35">
        <v>3.8</v>
      </c>
      <c r="U17" s="624">
        <f t="shared" si="36"/>
        <v>0.55000000000000004</v>
      </c>
      <c r="V17" s="35">
        <v>3.3</v>
      </c>
      <c r="W17" s="35">
        <v>58</v>
      </c>
      <c r="X17" s="35">
        <f t="shared" si="37"/>
        <v>0.115</v>
      </c>
      <c r="Y17" s="624">
        <f>0.5*0.85</f>
        <v>0.42499999999999999</v>
      </c>
      <c r="Z17" s="35">
        <v>1.9</v>
      </c>
      <c r="AA17" s="35">
        <v>16</v>
      </c>
      <c r="AB17" s="35">
        <v>0.83</v>
      </c>
      <c r="AC17" s="35">
        <v>0.86</v>
      </c>
      <c r="AD17" s="35">
        <v>0.16</v>
      </c>
      <c r="AE17" s="35">
        <v>0.28999999999999998</v>
      </c>
      <c r="AF17" s="35" t="s">
        <v>290</v>
      </c>
      <c r="AG17" s="35">
        <f t="shared" si="31"/>
        <v>1.7500000000000002E-2</v>
      </c>
      <c r="AH17" s="35">
        <v>3</v>
      </c>
      <c r="AI17" s="35">
        <v>3.5000000000000003E-2</v>
      </c>
      <c r="AJ17" s="35">
        <v>6.4000000000000001E-2</v>
      </c>
      <c r="AK17" s="35">
        <v>3.3999999999999998E-3</v>
      </c>
      <c r="AL17" s="628">
        <f t="shared" si="32"/>
        <v>1.15E-2</v>
      </c>
      <c r="AM17" s="33">
        <v>9.8000000000000004E-2</v>
      </c>
      <c r="AN17" s="33">
        <f t="shared" si="33"/>
        <v>1.2500000000000001E-2</v>
      </c>
      <c r="AO17" s="628">
        <f t="shared" si="34"/>
        <v>0.01</v>
      </c>
      <c r="AP17" s="35">
        <v>3.8</v>
      </c>
      <c r="AQ17" s="391"/>
      <c r="AR17" s="391">
        <v>0.4</v>
      </c>
      <c r="AS17" s="392">
        <v>1.4</v>
      </c>
      <c r="AT17" s="394">
        <v>0.83</v>
      </c>
      <c r="AU17" s="394">
        <v>0.71</v>
      </c>
      <c r="AV17" s="394">
        <v>1.3</v>
      </c>
      <c r="AW17" s="394">
        <v>1.6</v>
      </c>
      <c r="AX17" s="393">
        <v>0.91</v>
      </c>
      <c r="AY17" s="219">
        <v>0.11</v>
      </c>
      <c r="AZ17" s="219">
        <v>4.5999999999999996</v>
      </c>
      <c r="BA17" s="219">
        <v>1.3</v>
      </c>
      <c r="BB17" s="391">
        <v>2.9</v>
      </c>
      <c r="BC17" s="619">
        <f t="shared" si="3"/>
        <v>1.008695652173913</v>
      </c>
      <c r="BD17" s="610">
        <f t="shared" si="4"/>
        <v>1.0153846153846153</v>
      </c>
      <c r="BF17" s="610">
        <f t="shared" si="5"/>
        <v>2.2535211267605634E-4</v>
      </c>
      <c r="BG17" s="610">
        <f t="shared" si="6"/>
        <v>3.0645161290322582E-3</v>
      </c>
      <c r="BH17" s="610">
        <f t="shared" si="7"/>
        <v>0.12083333333333333</v>
      </c>
      <c r="BI17" s="610">
        <f t="shared" si="8"/>
        <v>6.086956521739131E-4</v>
      </c>
      <c r="BJ17" s="610">
        <f t="shared" si="9"/>
        <v>0.10555555555555556</v>
      </c>
      <c r="BK17" s="610">
        <f t="shared" si="10"/>
        <v>1.9487179487179486E-3</v>
      </c>
      <c r="BL17" s="610">
        <f t="shared" si="11"/>
        <v>6.1728395061728394E-4</v>
      </c>
      <c r="BM17" s="610">
        <f t="shared" si="12"/>
        <v>1.4E-3</v>
      </c>
      <c r="BN17" s="563">
        <f t="shared" si="13"/>
        <v>124.12320157504165</v>
      </c>
      <c r="BO17" s="563">
        <f t="shared" si="14"/>
        <v>110.13025310706472</v>
      </c>
      <c r="BP17" s="611">
        <f t="shared" si="15"/>
        <v>1.12705817042274</v>
      </c>
      <c r="BR17" s="564">
        <f t="shared" si="16"/>
        <v>7.9749999999999996</v>
      </c>
      <c r="BS17" s="564">
        <f t="shared" si="17"/>
        <v>0.24510000000000001</v>
      </c>
      <c r="BT17" s="564">
        <f t="shared" si="18"/>
        <v>3.5000000000000003E-2</v>
      </c>
      <c r="BU17" s="564">
        <f t="shared" si="19"/>
        <v>7.3599999999999994</v>
      </c>
      <c r="BV17" s="564">
        <f t="shared" si="20"/>
        <v>1.3</v>
      </c>
      <c r="BW17" s="564">
        <f t="shared" si="21"/>
        <v>0.51463999999999999</v>
      </c>
      <c r="BX17" s="564">
        <f t="shared" si="0"/>
        <v>0.11899999999999999</v>
      </c>
      <c r="BY17" s="564">
        <f t="shared" si="22"/>
        <v>8.004E-2</v>
      </c>
      <c r="BZ17" s="564"/>
      <c r="CA17" s="564">
        <f t="shared" si="24"/>
        <v>17.628779999999999</v>
      </c>
      <c r="CB17" s="611">
        <f t="shared" si="25"/>
        <v>0.93273968253968254</v>
      </c>
      <c r="CC17" s="610"/>
      <c r="CD17" s="610">
        <f t="shared" si="26"/>
        <v>0.77966101694915257</v>
      </c>
      <c r="CE17" s="610">
        <f t="shared" si="27"/>
        <v>0.63043478260869568</v>
      </c>
      <c r="CF17" s="610">
        <f t="shared" si="38"/>
        <v>0.30000000000000004</v>
      </c>
      <c r="CG17" s="610">
        <f t="shared" si="39"/>
        <v>1.02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13.3</v>
      </c>
      <c r="E18" s="631">
        <f t="shared" si="28"/>
        <v>8.0000000000000002E-3</v>
      </c>
      <c r="F18" s="626">
        <f>0.5*0.051</f>
        <v>2.5499999999999998E-2</v>
      </c>
      <c r="G18" s="43">
        <v>3.7</v>
      </c>
      <c r="H18" s="44">
        <v>1.2E-2</v>
      </c>
      <c r="I18" s="43">
        <v>1.3</v>
      </c>
      <c r="J18" s="43">
        <v>7.0999999999999994E-2</v>
      </c>
      <c r="K18" s="626">
        <f t="shared" si="29"/>
        <v>7.4999999999999997E-3</v>
      </c>
      <c r="L18" s="45">
        <v>2.7E-2</v>
      </c>
      <c r="M18" s="631">
        <f>0.5*21</f>
        <v>10.5</v>
      </c>
      <c r="N18" s="626">
        <f>0.5*55</f>
        <v>27.5</v>
      </c>
      <c r="O18" s="43" t="s">
        <v>232</v>
      </c>
      <c r="P18" s="43">
        <v>75</v>
      </c>
      <c r="Q18" s="626">
        <f t="shared" si="30"/>
        <v>85</v>
      </c>
      <c r="R18" s="626">
        <f t="shared" si="35"/>
        <v>6.0000000000000001E-3</v>
      </c>
      <c r="S18" s="43" t="s">
        <v>290</v>
      </c>
      <c r="T18" s="43">
        <v>2.5</v>
      </c>
      <c r="U18" s="626">
        <f t="shared" si="36"/>
        <v>0.55000000000000004</v>
      </c>
      <c r="V18" s="43">
        <v>1.8</v>
      </c>
      <c r="W18" s="43">
        <v>38</v>
      </c>
      <c r="X18" s="43">
        <f t="shared" si="37"/>
        <v>0.115</v>
      </c>
      <c r="Y18" s="626">
        <f>0.5*0.85</f>
        <v>0.42499999999999999</v>
      </c>
      <c r="Z18" s="43">
        <v>1.5</v>
      </c>
      <c r="AA18" s="43">
        <v>8.8000000000000007</v>
      </c>
      <c r="AB18" s="43">
        <v>0.61</v>
      </c>
      <c r="AC18" s="43">
        <v>0.53</v>
      </c>
      <c r="AD18" s="43">
        <v>0.13</v>
      </c>
      <c r="AE18" s="43">
        <v>0.23</v>
      </c>
      <c r="AF18" s="43" t="s">
        <v>290</v>
      </c>
      <c r="AG18" s="43">
        <f t="shared" si="31"/>
        <v>1.7500000000000002E-2</v>
      </c>
      <c r="AH18" s="43">
        <v>3.3</v>
      </c>
      <c r="AI18" s="43">
        <v>3.6999999999999998E-2</v>
      </c>
      <c r="AJ18" s="43">
        <v>5.6000000000000001E-2</v>
      </c>
      <c r="AK18" s="43">
        <v>3.8E-3</v>
      </c>
      <c r="AL18" s="629">
        <f t="shared" si="32"/>
        <v>1.15E-2</v>
      </c>
      <c r="AM18" s="629">
        <f>0.5*0.084</f>
        <v>4.2000000000000003E-2</v>
      </c>
      <c r="AN18" s="41">
        <f t="shared" si="33"/>
        <v>1.2500000000000001E-2</v>
      </c>
      <c r="AO18" s="629">
        <f t="shared" si="34"/>
        <v>0.01</v>
      </c>
      <c r="AP18" s="43">
        <v>2.2999999999999998</v>
      </c>
      <c r="AQ18" s="403"/>
      <c r="AR18" s="403">
        <v>0.28999999999999998</v>
      </c>
      <c r="AS18" s="400">
        <v>0.97</v>
      </c>
      <c r="AT18" s="402">
        <v>0.71</v>
      </c>
      <c r="AU18" s="402">
        <v>0.55000000000000004</v>
      </c>
      <c r="AV18" s="402">
        <v>0.99</v>
      </c>
      <c r="AW18" s="402">
        <v>1.1000000000000001</v>
      </c>
      <c r="AX18" s="401">
        <v>0.96</v>
      </c>
      <c r="AY18" s="228">
        <v>0.14000000000000001</v>
      </c>
      <c r="AZ18" s="228">
        <v>3.5</v>
      </c>
      <c r="BA18" s="228">
        <v>1.2</v>
      </c>
      <c r="BB18" s="403">
        <v>1.9</v>
      </c>
      <c r="BC18" s="620">
        <f t="shared" si="3"/>
        <v>1.0028571428571429</v>
      </c>
      <c r="BD18" s="617">
        <f t="shared" si="4"/>
        <v>1.0083333333333335</v>
      </c>
      <c r="BE18" s="616"/>
      <c r="BF18" s="617">
        <f t="shared" si="5"/>
        <v>2.2535211267605634E-4</v>
      </c>
      <c r="BG18" s="617">
        <f t="shared" si="6"/>
        <v>4.1129032258064511E-4</v>
      </c>
      <c r="BH18" s="617">
        <f t="shared" si="7"/>
        <v>7.7083333333333337E-2</v>
      </c>
      <c r="BI18" s="617">
        <f t="shared" si="8"/>
        <v>5.2173913043478267E-4</v>
      </c>
      <c r="BJ18" s="617">
        <f t="shared" si="9"/>
        <v>7.2222222222222229E-2</v>
      </c>
      <c r="BK18" s="617">
        <f t="shared" si="10"/>
        <v>1.8205128205128203E-3</v>
      </c>
      <c r="BL18" s="617">
        <f t="shared" si="11"/>
        <v>6.1728395061728394E-4</v>
      </c>
      <c r="BM18" s="617">
        <f t="shared" si="12"/>
        <v>1.3500000000000001E-3</v>
      </c>
      <c r="BN18" s="621">
        <f t="shared" si="13"/>
        <v>77.719975768590032</v>
      </c>
      <c r="BO18" s="621">
        <f t="shared" si="14"/>
        <v>76.531758123787128</v>
      </c>
      <c r="BP18" s="618">
        <f t="shared" si="15"/>
        <v>1.0155258114269505</v>
      </c>
      <c r="BQ18" s="616"/>
      <c r="BR18" s="615">
        <f t="shared" si="16"/>
        <v>5.0875000000000004</v>
      </c>
      <c r="BS18" s="615">
        <f t="shared" si="17"/>
        <v>3.2895000000000001E-2</v>
      </c>
      <c r="BT18" s="615">
        <f t="shared" si="18"/>
        <v>0.03</v>
      </c>
      <c r="BU18" s="615">
        <f t="shared" si="19"/>
        <v>5.6000000000000005</v>
      </c>
      <c r="BV18" s="615">
        <f t="shared" si="20"/>
        <v>1.2</v>
      </c>
      <c r="BW18" s="615">
        <f t="shared" si="21"/>
        <v>0.25272500000000003</v>
      </c>
      <c r="BX18" s="615">
        <f t="shared" si="0"/>
        <v>0.11899999999999999</v>
      </c>
      <c r="BY18" s="615">
        <f t="shared" si="22"/>
        <v>5.2439999999999994E-2</v>
      </c>
      <c r="BZ18" s="615"/>
      <c r="CA18" s="615">
        <f t="shared" si="24"/>
        <v>12.374560000000001</v>
      </c>
      <c r="CB18" s="618">
        <f t="shared" si="25"/>
        <v>0.93041804511278192</v>
      </c>
      <c r="CC18" s="617"/>
      <c r="CD18" s="617">
        <f t="shared" si="26"/>
        <v>0.74468085106382975</v>
      </c>
      <c r="CE18" s="617">
        <f t="shared" si="27"/>
        <v>0.54285714285714282</v>
      </c>
      <c r="CF18" s="617">
        <f t="shared" si="38"/>
        <v>0.1100000000000001</v>
      </c>
      <c r="CG18" s="617">
        <f t="shared" si="39"/>
        <v>1.1000000000000001</v>
      </c>
    </row>
    <row r="19" spans="2:85" ht="20.149999999999999" customHeight="1" x14ac:dyDescent="0.2">
      <c r="B19" s="31" t="s">
        <v>61</v>
      </c>
      <c r="C19" s="46" t="s">
        <v>92</v>
      </c>
      <c r="D19" s="47">
        <v>19.7</v>
      </c>
      <c r="E19" s="48" t="s">
        <v>285</v>
      </c>
      <c r="F19" s="49">
        <v>5.3999999999999999E-2</v>
      </c>
      <c r="G19" s="49">
        <v>5.3</v>
      </c>
      <c r="H19" s="50">
        <v>1.6E-2</v>
      </c>
      <c r="I19" s="49">
        <v>2</v>
      </c>
      <c r="J19" s="49">
        <v>8.8999999999999996E-2</v>
      </c>
      <c r="K19" s="49" t="s">
        <v>287</v>
      </c>
      <c r="L19" s="37">
        <v>3.1E-2</v>
      </c>
      <c r="M19" s="48" t="s">
        <v>288</v>
      </c>
      <c r="N19" s="49">
        <v>74</v>
      </c>
      <c r="O19" s="49" t="s">
        <v>232</v>
      </c>
      <c r="P19" s="49">
        <v>100</v>
      </c>
      <c r="Q19" s="49" t="s">
        <v>289</v>
      </c>
      <c r="R19" s="49">
        <v>2.1000000000000001E-2</v>
      </c>
      <c r="S19" s="49" t="s">
        <v>290</v>
      </c>
      <c r="T19" s="49">
        <v>2.8</v>
      </c>
      <c r="U19" s="49">
        <v>2.1</v>
      </c>
      <c r="V19" s="49">
        <v>4.8</v>
      </c>
      <c r="W19" s="49">
        <v>81</v>
      </c>
      <c r="X19" s="49" t="s">
        <v>242</v>
      </c>
      <c r="Y19" s="49">
        <v>1.2</v>
      </c>
      <c r="Z19" s="49">
        <v>3.3</v>
      </c>
      <c r="AA19" s="49">
        <v>17</v>
      </c>
      <c r="AB19" s="49">
        <v>0.94</v>
      </c>
      <c r="AC19" s="49">
        <v>0.84</v>
      </c>
      <c r="AD19" s="49">
        <v>0.21</v>
      </c>
      <c r="AE19" s="49">
        <v>0.64</v>
      </c>
      <c r="AF19" s="49" t="s">
        <v>290</v>
      </c>
      <c r="AG19" s="49" t="s">
        <v>74</v>
      </c>
      <c r="AH19" s="49">
        <v>3.9</v>
      </c>
      <c r="AI19" s="49">
        <v>3.9E-2</v>
      </c>
      <c r="AJ19" s="49">
        <v>8.6999999999999994E-2</v>
      </c>
      <c r="AK19" s="49">
        <v>6.6E-3</v>
      </c>
      <c r="AL19" s="47" t="s">
        <v>292</v>
      </c>
      <c r="AM19" s="47" t="s">
        <v>305</v>
      </c>
      <c r="AN19" s="47" t="s">
        <v>293</v>
      </c>
      <c r="AO19" s="47" t="s">
        <v>259</v>
      </c>
      <c r="AP19" s="49">
        <v>3.9</v>
      </c>
      <c r="AQ19" s="395"/>
      <c r="AR19" s="395">
        <v>0.5</v>
      </c>
      <c r="AS19" s="407">
        <v>1.3</v>
      </c>
      <c r="AT19" s="409">
        <v>1</v>
      </c>
      <c r="AU19" s="409">
        <v>0.71</v>
      </c>
      <c r="AV19" s="409">
        <v>1.5</v>
      </c>
      <c r="AW19" s="409">
        <v>2</v>
      </c>
      <c r="AX19" s="408">
        <v>1</v>
      </c>
      <c r="AY19" s="237">
        <v>0.09</v>
      </c>
      <c r="AZ19" s="237">
        <v>5</v>
      </c>
      <c r="BA19" s="237">
        <v>1.6</v>
      </c>
      <c r="BB19" s="395">
        <v>2.8</v>
      </c>
      <c r="BC19" s="619">
        <f t="shared" si="3"/>
        <v>1.002</v>
      </c>
      <c r="BD19" s="610">
        <f t="shared" si="4"/>
        <v>0.99374999999999991</v>
      </c>
      <c r="BF19" s="610" t="e">
        <f t="shared" si="5"/>
        <v>#VALUE!</v>
      </c>
      <c r="BG19" s="610">
        <f t="shared" si="6"/>
        <v>8.7096774193548391E-4</v>
      </c>
      <c r="BH19" s="610">
        <f t="shared" si="7"/>
        <v>0.11041666666666666</v>
      </c>
      <c r="BI19" s="610">
        <f t="shared" si="8"/>
        <v>6.9565217391304353E-4</v>
      </c>
      <c r="BJ19" s="610">
        <f t="shared" si="9"/>
        <v>0.1111111111111111</v>
      </c>
      <c r="BK19" s="610">
        <f t="shared" si="10"/>
        <v>2.2820512820512819E-3</v>
      </c>
      <c r="BL19" s="610" t="e">
        <f t="shared" si="11"/>
        <v>#VALUE!</v>
      </c>
      <c r="BM19" s="610">
        <f t="shared" si="12"/>
        <v>1.5499999999999999E-3</v>
      </c>
      <c r="BN19" s="563" t="e">
        <f t="shared" si="13"/>
        <v>#VALUE!</v>
      </c>
      <c r="BO19" s="563" t="e">
        <f t="shared" si="14"/>
        <v>#VALUE!</v>
      </c>
      <c r="BP19" s="611" t="e">
        <f t="shared" si="15"/>
        <v>#VALUE!</v>
      </c>
      <c r="BR19" s="564">
        <f t="shared" si="16"/>
        <v>7.2874999999999996</v>
      </c>
      <c r="BS19" s="564">
        <f t="shared" si="17"/>
        <v>6.966E-2</v>
      </c>
      <c r="BT19" s="564">
        <f t="shared" si="18"/>
        <v>0.04</v>
      </c>
      <c r="BU19" s="564">
        <f t="shared" si="19"/>
        <v>8</v>
      </c>
      <c r="BV19" s="564">
        <f t="shared" si="20"/>
        <v>1.6</v>
      </c>
      <c r="BW19" s="564">
        <f t="shared" si="21"/>
        <v>0.68006</v>
      </c>
      <c r="BX19" s="564" t="e">
        <f t="shared" si="0"/>
        <v>#VALUE!</v>
      </c>
      <c r="BY19" s="564">
        <f t="shared" si="22"/>
        <v>0.11177999999999999</v>
      </c>
      <c r="BZ19" s="564" t="e">
        <f t="shared" si="23"/>
        <v>#VALUE!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0.75757575757575757</v>
      </c>
      <c r="CE19" s="610">
        <f t="shared" si="27"/>
        <v>0.55999999999999994</v>
      </c>
      <c r="CF19" s="610">
        <f t="shared" si="38"/>
        <v>0.5</v>
      </c>
      <c r="CG19" s="610">
        <f t="shared" si="39"/>
        <v>1.0900000000000001</v>
      </c>
    </row>
    <row r="20" spans="2:85" ht="20.149999999999999" customHeight="1" x14ac:dyDescent="0.2">
      <c r="B20" s="21" t="s">
        <v>61</v>
      </c>
      <c r="C20" s="52" t="s">
        <v>210</v>
      </c>
      <c r="D20" s="53">
        <v>19.2</v>
      </c>
      <c r="E20" s="54" t="s">
        <v>285</v>
      </c>
      <c r="F20" s="55">
        <v>0.08</v>
      </c>
      <c r="G20" s="55">
        <v>6</v>
      </c>
      <c r="H20" s="56">
        <v>1.7999999999999999E-2</v>
      </c>
      <c r="I20" s="55">
        <v>2.2000000000000002</v>
      </c>
      <c r="J20" s="55">
        <v>7.0000000000000007E-2</v>
      </c>
      <c r="K20" s="55" t="s">
        <v>287</v>
      </c>
      <c r="L20" s="52">
        <v>3.7999999999999999E-2</v>
      </c>
      <c r="M20" s="54" t="s">
        <v>288</v>
      </c>
      <c r="N20" s="55">
        <v>83</v>
      </c>
      <c r="O20" s="55" t="s">
        <v>232</v>
      </c>
      <c r="P20" s="55">
        <v>69</v>
      </c>
      <c r="Q20" s="55">
        <v>180</v>
      </c>
      <c r="R20" s="55" t="s">
        <v>298</v>
      </c>
      <c r="S20" s="55" t="s">
        <v>290</v>
      </c>
      <c r="T20" s="55">
        <v>2.9</v>
      </c>
      <c r="U20" s="55" t="s">
        <v>291</v>
      </c>
      <c r="V20" s="55">
        <v>4.5</v>
      </c>
      <c r="W20" s="55">
        <v>79</v>
      </c>
      <c r="X20" s="55" t="s">
        <v>242</v>
      </c>
      <c r="Y20" s="55">
        <v>1</v>
      </c>
      <c r="Z20" s="55">
        <v>1.9</v>
      </c>
      <c r="AA20" s="55">
        <v>15</v>
      </c>
      <c r="AB20" s="55">
        <v>0.83</v>
      </c>
      <c r="AC20" s="55">
        <v>0.75</v>
      </c>
      <c r="AD20" s="55">
        <v>0.18</v>
      </c>
      <c r="AE20" s="55">
        <v>0.75</v>
      </c>
      <c r="AF20" s="55" t="s">
        <v>290</v>
      </c>
      <c r="AG20" s="55" t="s">
        <v>74</v>
      </c>
      <c r="AH20" s="55">
        <v>2.6</v>
      </c>
      <c r="AI20" s="55">
        <v>4.1000000000000002E-2</v>
      </c>
      <c r="AJ20" s="55">
        <v>8.1000000000000003E-2</v>
      </c>
      <c r="AK20" s="55">
        <v>6.0000000000000001E-3</v>
      </c>
      <c r="AL20" s="53" t="s">
        <v>292</v>
      </c>
      <c r="AM20" s="53">
        <v>0.11</v>
      </c>
      <c r="AN20" s="53" t="s">
        <v>293</v>
      </c>
      <c r="AO20" s="53" t="s">
        <v>259</v>
      </c>
      <c r="AP20" s="55">
        <v>4.4000000000000004</v>
      </c>
      <c r="AQ20" s="414"/>
      <c r="AR20" s="414">
        <v>0.51</v>
      </c>
      <c r="AS20" s="416">
        <v>1.8</v>
      </c>
      <c r="AT20" s="419">
        <v>0.92</v>
      </c>
      <c r="AU20" s="419">
        <v>0.78</v>
      </c>
      <c r="AV20" s="419">
        <v>1.7</v>
      </c>
      <c r="AW20" s="419">
        <v>2.4</v>
      </c>
      <c r="AX20" s="418">
        <v>1.4</v>
      </c>
      <c r="AY20" s="246">
        <v>0.13</v>
      </c>
      <c r="AZ20" s="246">
        <v>5.7</v>
      </c>
      <c r="BA20" s="246">
        <v>2.2000000000000002</v>
      </c>
      <c r="BB20" s="414">
        <v>3.3</v>
      </c>
      <c r="BC20" s="619">
        <f t="shared" si="3"/>
        <v>1.0017543859649123</v>
      </c>
      <c r="BD20" s="610">
        <f t="shared" si="4"/>
        <v>1.0136363636363634</v>
      </c>
      <c r="BF20" s="610" t="e">
        <f t="shared" si="5"/>
        <v>#VALUE!</v>
      </c>
      <c r="BG20" s="610">
        <f t="shared" si="6"/>
        <v>1.2903225806451613E-3</v>
      </c>
      <c r="BH20" s="610">
        <f t="shared" si="7"/>
        <v>0.125</v>
      </c>
      <c r="BI20" s="610">
        <f t="shared" si="8"/>
        <v>7.8260869565217384E-4</v>
      </c>
      <c r="BJ20" s="610">
        <f t="shared" si="9"/>
        <v>0.12222222222222223</v>
      </c>
      <c r="BK20" s="610">
        <f t="shared" si="10"/>
        <v>1.7948717948717951E-3</v>
      </c>
      <c r="BL20" s="610" t="e">
        <f t="shared" si="11"/>
        <v>#VALUE!</v>
      </c>
      <c r="BM20" s="610">
        <f t="shared" si="12"/>
        <v>1.9E-3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8.25</v>
      </c>
      <c r="BS20" s="564">
        <f t="shared" si="17"/>
        <v>0.1032</v>
      </c>
      <c r="BT20" s="564">
        <f t="shared" si="18"/>
        <v>4.4999999999999998E-2</v>
      </c>
      <c r="BU20" s="564">
        <f t="shared" si="19"/>
        <v>9.120000000000001</v>
      </c>
      <c r="BV20" s="564">
        <f t="shared" si="20"/>
        <v>2.2000000000000002</v>
      </c>
      <c r="BW20" s="564">
        <f t="shared" si="21"/>
        <v>0.76277000000000006</v>
      </c>
      <c r="BX20" s="564">
        <f t="shared" si="0"/>
        <v>0.252</v>
      </c>
      <c r="BY20" s="564">
        <f t="shared" si="22"/>
        <v>0.10901999999999999</v>
      </c>
      <c r="BZ20" s="564" t="e">
        <f t="shared" si="23"/>
        <v>#VALUE!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0.72151898734177211</v>
      </c>
      <c r="CE20" s="610">
        <f t="shared" si="27"/>
        <v>0.57894736842105254</v>
      </c>
      <c r="CF20" s="610">
        <f t="shared" si="38"/>
        <v>0.7</v>
      </c>
      <c r="CG20" s="610">
        <f t="shared" si="39"/>
        <v>1.5299999999999998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16.885714285714286</v>
      </c>
      <c r="E21" s="541">
        <f t="shared" ref="E21:BB21" si="40">AVERAGE(E12:E18)</f>
        <v>8.0000000000000002E-3</v>
      </c>
      <c r="F21" s="541">
        <f t="shared" si="40"/>
        <v>0.15607142857142858</v>
      </c>
      <c r="G21" s="540">
        <f t="shared" si="40"/>
        <v>4.4571428571428573</v>
      </c>
      <c r="H21" s="541">
        <f t="shared" si="40"/>
        <v>2.525714285714286E-2</v>
      </c>
      <c r="I21" s="540">
        <f t="shared" si="40"/>
        <v>1.6142857142857143</v>
      </c>
      <c r="J21" s="541">
        <f t="shared" si="40"/>
        <v>6.1285714285714291E-2</v>
      </c>
      <c r="K21" s="541">
        <f t="shared" si="40"/>
        <v>7.4999999999999997E-3</v>
      </c>
      <c r="L21" s="541">
        <f t="shared" si="40"/>
        <v>2.8714285714285713E-2</v>
      </c>
      <c r="M21" s="540">
        <f t="shared" si="40"/>
        <v>20.5</v>
      </c>
      <c r="N21" s="540">
        <f t="shared" si="40"/>
        <v>50.071428571428569</v>
      </c>
      <c r="O21" s="540" t="e">
        <f t="shared" si="40"/>
        <v>#DIV/0!</v>
      </c>
      <c r="P21" s="540">
        <f t="shared" si="40"/>
        <v>65.571428571428569</v>
      </c>
      <c r="Q21" s="540">
        <f t="shared" si="40"/>
        <v>85</v>
      </c>
      <c r="R21" s="540">
        <f t="shared" si="40"/>
        <v>9.1428571428571435E-3</v>
      </c>
      <c r="S21" s="540" t="e">
        <f t="shared" si="40"/>
        <v>#DIV/0!</v>
      </c>
      <c r="T21" s="540">
        <f t="shared" si="40"/>
        <v>2.5</v>
      </c>
      <c r="U21" s="540">
        <f t="shared" si="40"/>
        <v>0.75714285714285701</v>
      </c>
      <c r="V21" s="540">
        <f t="shared" si="40"/>
        <v>3.9142857142857141</v>
      </c>
      <c r="W21" s="540">
        <f t="shared" si="40"/>
        <v>64.142857142857139</v>
      </c>
      <c r="X21" s="540">
        <f t="shared" si="40"/>
        <v>0.1542857142857143</v>
      </c>
      <c r="Y21" s="540">
        <f t="shared" si="40"/>
        <v>0.60357142857142854</v>
      </c>
      <c r="Z21" s="540">
        <f t="shared" si="40"/>
        <v>1.657142857142857</v>
      </c>
      <c r="AA21" s="540">
        <f t="shared" si="40"/>
        <v>16.071428571428573</v>
      </c>
      <c r="AB21" s="540">
        <f t="shared" si="40"/>
        <v>0.65</v>
      </c>
      <c r="AC21" s="541">
        <f t="shared" si="40"/>
        <v>0.67857142857142871</v>
      </c>
      <c r="AD21" s="541">
        <f t="shared" si="40"/>
        <v>0.15</v>
      </c>
      <c r="AE21" s="541">
        <f t="shared" si="40"/>
        <v>0.31142857142857144</v>
      </c>
      <c r="AF21" s="541" t="e">
        <f t="shared" si="40"/>
        <v>#DIV/0!</v>
      </c>
      <c r="AG21" s="541">
        <f t="shared" si="40"/>
        <v>1.7500000000000002E-2</v>
      </c>
      <c r="AH21" s="541">
        <f t="shared" si="40"/>
        <v>3.0428571428571431</v>
      </c>
      <c r="AI21" s="541">
        <f t="shared" si="40"/>
        <v>4.8285714285714286E-2</v>
      </c>
      <c r="AJ21" s="541">
        <f t="shared" si="40"/>
        <v>6.7142857142857143E-2</v>
      </c>
      <c r="AK21" s="541">
        <f t="shared" si="40"/>
        <v>3.9071428571428573E-3</v>
      </c>
      <c r="AL21" s="541">
        <f t="shared" si="40"/>
        <v>1.1499999999999998E-2</v>
      </c>
      <c r="AM21" s="541">
        <f t="shared" si="40"/>
        <v>9.0571428571428567E-2</v>
      </c>
      <c r="AN21" s="541">
        <f t="shared" si="40"/>
        <v>1.2499999999999999E-2</v>
      </c>
      <c r="AO21" s="541">
        <f t="shared" si="40"/>
        <v>0.01</v>
      </c>
      <c r="AP21" s="541">
        <f t="shared" si="40"/>
        <v>3.2285714285714286</v>
      </c>
      <c r="AQ21" s="541" t="e">
        <f t="shared" si="40"/>
        <v>#DIV/0!</v>
      </c>
      <c r="AR21" s="540">
        <f t="shared" si="40"/>
        <v>0.29857142857142854</v>
      </c>
      <c r="AS21" s="540">
        <f t="shared" si="40"/>
        <v>1.0385714285714287</v>
      </c>
      <c r="AT21" s="540">
        <f t="shared" si="40"/>
        <v>0.82571428571428573</v>
      </c>
      <c r="AU21" s="540">
        <f t="shared" si="40"/>
        <v>0.57428571428571418</v>
      </c>
      <c r="AV21" s="540">
        <f t="shared" si="40"/>
        <v>0.99142857142857144</v>
      </c>
      <c r="AW21" s="540">
        <f t="shared" si="40"/>
        <v>1.1985714285714284</v>
      </c>
      <c r="AX21" s="540">
        <f t="shared" si="40"/>
        <v>1.0385714285714287</v>
      </c>
      <c r="AY21" s="540">
        <f t="shared" si="40"/>
        <v>9.3571428571428569E-2</v>
      </c>
      <c r="AZ21" s="540">
        <f t="shared" si="40"/>
        <v>3.7285714285714286</v>
      </c>
      <c r="BA21" s="540">
        <f t="shared" si="40"/>
        <v>1.3285714285714285</v>
      </c>
      <c r="BB21" s="540">
        <f t="shared" si="40"/>
        <v>2.871428571428571</v>
      </c>
      <c r="CD21" s="691">
        <f>AVERAGE(CD12:CD18)</f>
        <v>0.73328493929102656</v>
      </c>
      <c r="CE21" s="691">
        <f>AVERAGE(CE12:CE18)</f>
        <v>0.76969968677185385</v>
      </c>
      <c r="CF21" s="691">
        <f>AVERAGE(CF12:CF18)</f>
        <v>0.20714285714285724</v>
      </c>
      <c r="CG21" s="691">
        <f>AVERAGE(CG12:CG18)</f>
        <v>1.1321428571428573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14.561538461538463</v>
      </c>
      <c r="E22" s="545">
        <f t="shared" ref="E22:BB22" si="41">AVERAGE(E7:E20)</f>
        <v>8.0000000000000002E-3</v>
      </c>
      <c r="F22" s="545">
        <f t="shared" si="41"/>
        <v>0.136875</v>
      </c>
      <c r="G22" s="544">
        <f t="shared" si="41"/>
        <v>3.7392857142857139</v>
      </c>
      <c r="H22" s="545">
        <f t="shared" si="41"/>
        <v>2.3422222222222223E-2</v>
      </c>
      <c r="I22" s="544">
        <f t="shared" si="41"/>
        <v>1.3485714285714285</v>
      </c>
      <c r="J22" s="545">
        <f t="shared" si="41"/>
        <v>6.6100000000000006E-2</v>
      </c>
      <c r="K22" s="545">
        <f t="shared" si="41"/>
        <v>7.4999999999999997E-3</v>
      </c>
      <c r="L22" s="545">
        <f t="shared" si="41"/>
        <v>3.85E-2</v>
      </c>
      <c r="M22" s="544">
        <f t="shared" si="41"/>
        <v>20.5</v>
      </c>
      <c r="N22" s="544">
        <f t="shared" si="41"/>
        <v>64.75</v>
      </c>
      <c r="O22" s="544" t="e">
        <f t="shared" si="41"/>
        <v>#DIV/0!</v>
      </c>
      <c r="P22" s="544">
        <f t="shared" si="41"/>
        <v>59.5</v>
      </c>
      <c r="Q22" s="544">
        <f t="shared" si="41"/>
        <v>96.875</v>
      </c>
      <c r="R22" s="544">
        <f t="shared" si="41"/>
        <v>1.2888888888888892E-2</v>
      </c>
      <c r="S22" s="544" t="e">
        <f t="shared" si="41"/>
        <v>#DIV/0!</v>
      </c>
      <c r="T22" s="544">
        <f t="shared" si="41"/>
        <v>1.9438461538461538</v>
      </c>
      <c r="U22" s="544">
        <f t="shared" si="41"/>
        <v>0.92499999999999982</v>
      </c>
      <c r="V22" s="544">
        <f t="shared" si="41"/>
        <v>3.345384615384615</v>
      </c>
      <c r="W22" s="544">
        <f t="shared" si="41"/>
        <v>68.3</v>
      </c>
      <c r="X22" s="544">
        <f t="shared" si="41"/>
        <v>0.16750000000000001</v>
      </c>
      <c r="Y22" s="544">
        <f t="shared" si="41"/>
        <v>0.78249999999999997</v>
      </c>
      <c r="Z22" s="544">
        <f t="shared" si="41"/>
        <v>2.2599999999999998</v>
      </c>
      <c r="AA22" s="544">
        <f t="shared" si="41"/>
        <v>13.825000000000001</v>
      </c>
      <c r="AB22" s="544">
        <f t="shared" si="41"/>
        <v>0.55307692307692302</v>
      </c>
      <c r="AC22" s="545">
        <f t="shared" si="41"/>
        <v>0.60416666666666674</v>
      </c>
      <c r="AD22" s="545">
        <f t="shared" si="41"/>
        <v>0.14936363636363637</v>
      </c>
      <c r="AE22" s="545">
        <f t="shared" si="41"/>
        <v>0.55000000000000004</v>
      </c>
      <c r="AF22" s="545" t="e">
        <f t="shared" si="41"/>
        <v>#DIV/0!</v>
      </c>
      <c r="AG22" s="545">
        <f t="shared" si="41"/>
        <v>1.7500000000000002E-2</v>
      </c>
      <c r="AH22" s="545">
        <f t="shared" si="41"/>
        <v>2.5976923076923075</v>
      </c>
      <c r="AI22" s="545">
        <f t="shared" si="41"/>
        <v>4.4181818181818176E-2</v>
      </c>
      <c r="AJ22" s="545">
        <f t="shared" si="41"/>
        <v>6.8545454545454548E-2</v>
      </c>
      <c r="AK22" s="545">
        <f t="shared" si="41"/>
        <v>4.4730769230769234E-3</v>
      </c>
      <c r="AL22" s="545">
        <f t="shared" si="41"/>
        <v>1.1499999999999998E-2</v>
      </c>
      <c r="AM22" s="545">
        <f t="shared" si="41"/>
        <v>0.11581818181818183</v>
      </c>
      <c r="AN22" s="545">
        <f t="shared" si="41"/>
        <v>1.2499999999999999E-2</v>
      </c>
      <c r="AO22" s="545">
        <f t="shared" si="41"/>
        <v>0.01</v>
      </c>
      <c r="AP22" s="545">
        <f t="shared" si="41"/>
        <v>2.9890909090909088</v>
      </c>
      <c r="AQ22" s="545" t="e">
        <f t="shared" si="41"/>
        <v>#DIV/0!</v>
      </c>
      <c r="AR22" s="544">
        <f t="shared" si="41"/>
        <v>0.3446153846153846</v>
      </c>
      <c r="AS22" s="544">
        <f t="shared" si="41"/>
        <v>1.0564285714285717</v>
      </c>
      <c r="AT22" s="544">
        <f t="shared" si="41"/>
        <v>0.92285714285714282</v>
      </c>
      <c r="AU22" s="544">
        <f t="shared" si="41"/>
        <v>0.5842857142857143</v>
      </c>
      <c r="AV22" s="544">
        <f t="shared" si="41"/>
        <v>0.99714285714285722</v>
      </c>
      <c r="AW22" s="544">
        <f t="shared" si="41"/>
        <v>1.2564285714285715</v>
      </c>
      <c r="AX22" s="544">
        <f t="shared" si="41"/>
        <v>0.92285714285714282</v>
      </c>
      <c r="AY22" s="544">
        <f t="shared" si="41"/>
        <v>9.0357142857142872E-2</v>
      </c>
      <c r="AZ22" s="544">
        <f t="shared" si="41"/>
        <v>3.878571428571429</v>
      </c>
      <c r="BA22" s="544">
        <f t="shared" si="41"/>
        <v>1.2728571428571429</v>
      </c>
      <c r="BB22" s="544">
        <f t="shared" si="41"/>
        <v>2.5453846153846151</v>
      </c>
      <c r="CD22" s="691">
        <f>AVERAGE(CD7:CD20)</f>
        <v>0.74546854019379438</v>
      </c>
      <c r="CE22" s="691" t="e">
        <f>AVERAGE(CE7:CE20)</f>
        <v>#VALUE!</v>
      </c>
      <c r="CF22" s="691">
        <f>AVERAGE(CF7:CF20)</f>
        <v>0.26642857142857151</v>
      </c>
      <c r="CG22" s="691">
        <f>AVERAGE(CG7:CG20)</f>
        <v>1.0060714285714283</v>
      </c>
    </row>
    <row r="23" spans="2:85" ht="19.5" customHeight="1" x14ac:dyDescent="0.2">
      <c r="B23" s="704" t="s">
        <v>94</v>
      </c>
      <c r="C23" s="705"/>
      <c r="D23" s="57"/>
      <c r="E23" s="30">
        <v>1.6E-2</v>
      </c>
      <c r="F23" s="29">
        <v>5.0999999999999997E-2</v>
      </c>
      <c r="G23" s="29">
        <v>0.18</v>
      </c>
      <c r="H23" s="30">
        <v>9.5999999999999992E-3</v>
      </c>
      <c r="I23" s="29">
        <v>4.3E-3</v>
      </c>
      <c r="J23" s="29">
        <v>0.03</v>
      </c>
      <c r="K23" s="29">
        <v>1.4999999999999999E-2</v>
      </c>
      <c r="L23" s="26">
        <v>1.7000000000000001E-2</v>
      </c>
      <c r="M23" s="30">
        <v>21</v>
      </c>
      <c r="N23" s="29">
        <v>55</v>
      </c>
      <c r="O23" s="29" t="s">
        <v>232</v>
      </c>
      <c r="P23" s="29">
        <v>8.5</v>
      </c>
      <c r="Q23" s="29">
        <v>170</v>
      </c>
      <c r="R23" s="29">
        <v>1.2E-2</v>
      </c>
      <c r="S23" s="29">
        <v>500</v>
      </c>
      <c r="T23" s="29">
        <v>0.14000000000000001</v>
      </c>
      <c r="U23" s="29">
        <v>1.1000000000000001</v>
      </c>
      <c r="V23" s="29">
        <v>0.2</v>
      </c>
      <c r="W23" s="29">
        <v>24</v>
      </c>
      <c r="X23" s="29">
        <v>0.23</v>
      </c>
      <c r="Y23" s="29">
        <v>0.85</v>
      </c>
      <c r="Z23" s="29">
        <v>0.94</v>
      </c>
      <c r="AA23" s="29">
        <v>4</v>
      </c>
      <c r="AB23" s="29">
        <v>2.9000000000000001E-2</v>
      </c>
      <c r="AC23" s="29">
        <v>0.19</v>
      </c>
      <c r="AD23" s="29">
        <v>6.3E-2</v>
      </c>
      <c r="AE23" s="29">
        <v>0.15</v>
      </c>
      <c r="AF23" s="29">
        <v>87</v>
      </c>
      <c r="AG23" s="29">
        <v>3.5000000000000003E-2</v>
      </c>
      <c r="AH23" s="29">
        <v>0.19</v>
      </c>
      <c r="AI23" s="29">
        <v>1.2E-2</v>
      </c>
      <c r="AJ23" s="29">
        <v>2.1999999999999999E-2</v>
      </c>
      <c r="AK23" s="29">
        <v>1.9E-3</v>
      </c>
      <c r="AL23" s="27">
        <v>2.3E-2</v>
      </c>
      <c r="AM23" s="58">
        <v>8.4000000000000005E-2</v>
      </c>
      <c r="AN23" s="58">
        <v>2.5000000000000001E-2</v>
      </c>
      <c r="AO23" s="58">
        <v>0.02</v>
      </c>
      <c r="AP23" s="59">
        <v>0.55000000000000004</v>
      </c>
      <c r="AQ23" s="60"/>
      <c r="AR23" s="28">
        <v>0.13</v>
      </c>
      <c r="AS23" s="30">
        <v>0.16</v>
      </c>
      <c r="AT23" s="30">
        <v>0.21</v>
      </c>
      <c r="AU23" s="30">
        <v>0.03</v>
      </c>
      <c r="AV23" s="30">
        <v>0</v>
      </c>
      <c r="AW23" s="29">
        <v>1.2E-2</v>
      </c>
      <c r="AX23" s="27">
        <v>1.6E-2</v>
      </c>
      <c r="AY23" s="27">
        <v>0</v>
      </c>
      <c r="AZ23" s="27"/>
      <c r="BA23" s="27"/>
      <c r="BB23" s="26">
        <v>0.14000000000000001</v>
      </c>
    </row>
    <row r="24" spans="2:85" ht="20.149999999999999" customHeight="1" x14ac:dyDescent="0.2">
      <c r="B24" s="692" t="s">
        <v>95</v>
      </c>
      <c r="C24" s="693"/>
      <c r="D24" s="61"/>
      <c r="E24" s="56">
        <v>5.1999999999999998E-2</v>
      </c>
      <c r="F24" s="55">
        <v>0.17</v>
      </c>
      <c r="G24" s="55">
        <v>0.59</v>
      </c>
      <c r="H24" s="56">
        <v>3.2000000000000001E-2</v>
      </c>
      <c r="I24" s="55">
        <v>1.4E-2</v>
      </c>
      <c r="J24" s="55">
        <v>0.1</v>
      </c>
      <c r="K24" s="55">
        <v>5.0999999999999997E-2</v>
      </c>
      <c r="L24" s="52">
        <v>5.6000000000000001E-2</v>
      </c>
      <c r="M24" s="56">
        <v>70</v>
      </c>
      <c r="N24" s="55">
        <v>180</v>
      </c>
      <c r="O24" s="55" t="s">
        <v>232</v>
      </c>
      <c r="P24" s="55">
        <v>28</v>
      </c>
      <c r="Q24" s="55">
        <v>560</v>
      </c>
      <c r="R24" s="55">
        <v>4.1000000000000002E-2</v>
      </c>
      <c r="S24" s="55">
        <v>1700</v>
      </c>
      <c r="T24" s="55">
        <v>0.47</v>
      </c>
      <c r="U24" s="55">
        <v>3.7</v>
      </c>
      <c r="V24" s="55">
        <v>0.67</v>
      </c>
      <c r="W24" s="55">
        <v>79</v>
      </c>
      <c r="X24" s="55">
        <v>0.77</v>
      </c>
      <c r="Y24" s="55">
        <v>2.8</v>
      </c>
      <c r="Z24" s="55">
        <v>3.1</v>
      </c>
      <c r="AA24" s="55">
        <v>13</v>
      </c>
      <c r="AB24" s="55">
        <v>9.5000000000000001E-2</v>
      </c>
      <c r="AC24" s="55">
        <v>0.63</v>
      </c>
      <c r="AD24" s="55">
        <v>0.21</v>
      </c>
      <c r="AE24" s="55">
        <v>0.51</v>
      </c>
      <c r="AF24" s="55">
        <v>290</v>
      </c>
      <c r="AG24" s="55">
        <v>0.12</v>
      </c>
      <c r="AH24" s="55">
        <v>0.63</v>
      </c>
      <c r="AI24" s="55">
        <v>3.9E-2</v>
      </c>
      <c r="AJ24" s="55">
        <v>7.1999999999999995E-2</v>
      </c>
      <c r="AK24" s="55">
        <v>6.1999999999999998E-3</v>
      </c>
      <c r="AL24" s="53">
        <v>7.6999999999999999E-2</v>
      </c>
      <c r="AM24" s="53">
        <v>0.28000000000000003</v>
      </c>
      <c r="AN24" s="53">
        <v>8.3000000000000004E-2</v>
      </c>
      <c r="AO24" s="53">
        <v>6.7000000000000004E-2</v>
      </c>
      <c r="AP24" s="55">
        <v>1.8</v>
      </c>
      <c r="AQ24" s="52"/>
      <c r="AR24" s="54">
        <v>0.44</v>
      </c>
      <c r="AS24" s="56">
        <v>0.52</v>
      </c>
      <c r="AT24" s="56">
        <v>0.7</v>
      </c>
      <c r="AU24" s="56">
        <v>0.1</v>
      </c>
      <c r="AV24" s="56">
        <v>0</v>
      </c>
      <c r="AW24" s="55">
        <v>4.1000000000000002E-2</v>
      </c>
      <c r="AX24" s="53">
        <v>5.3999999999999999E-2</v>
      </c>
      <c r="AY24" s="53">
        <v>0</v>
      </c>
      <c r="AZ24" s="53"/>
      <c r="BA24" s="53"/>
      <c r="BB24" s="52">
        <v>0.48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87" priority="6" stopIfTrue="1" operator="notBetween">
      <formula>0.8</formula>
      <formula>1.2</formula>
    </cfRule>
  </conditionalFormatting>
  <conditionalFormatting sqref="BC7:BD20">
    <cfRule type="cellIs" dxfId="86" priority="5" stopIfTrue="1" operator="notBetween">
      <formula>0.9</formula>
      <formula>1.1</formula>
    </cfRule>
  </conditionalFormatting>
  <conditionalFormatting sqref="BP7:BP20">
    <cfRule type="cellIs" dxfId="85" priority="3" stopIfTrue="1" operator="notBetween">
      <formula>0.8</formula>
      <formula>1.2</formula>
    </cfRule>
  </conditionalFormatting>
  <conditionalFormatting sqref="CF7:CF20">
    <cfRule type="cellIs" dxfId="84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I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320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7.5</v>
      </c>
      <c r="E7" s="28" t="s">
        <v>285</v>
      </c>
      <c r="F7" s="29">
        <v>0.11</v>
      </c>
      <c r="G7" s="29">
        <v>1</v>
      </c>
      <c r="H7" s="30">
        <v>6.6000000000000003E-2</v>
      </c>
      <c r="I7" s="29">
        <v>0.3</v>
      </c>
      <c r="J7" s="29" t="s">
        <v>253</v>
      </c>
      <c r="K7" s="29" t="s">
        <v>287</v>
      </c>
      <c r="L7" s="26">
        <v>0.05</v>
      </c>
      <c r="M7" s="28">
        <v>85</v>
      </c>
      <c r="N7" s="29">
        <v>66</v>
      </c>
      <c r="O7" s="29" t="s">
        <v>232</v>
      </c>
      <c r="P7" s="29">
        <v>52</v>
      </c>
      <c r="Q7" s="29" t="s">
        <v>289</v>
      </c>
      <c r="R7" s="29" t="s">
        <v>298</v>
      </c>
      <c r="S7" s="29" t="s">
        <v>290</v>
      </c>
      <c r="T7" s="29">
        <v>0.82</v>
      </c>
      <c r="U7" s="29" t="s">
        <v>291</v>
      </c>
      <c r="V7" s="29">
        <v>2.8</v>
      </c>
      <c r="W7" s="29">
        <v>65</v>
      </c>
      <c r="X7" s="29" t="s">
        <v>242</v>
      </c>
      <c r="Y7" s="29" t="s">
        <v>300</v>
      </c>
      <c r="Z7" s="29">
        <v>2</v>
      </c>
      <c r="AA7" s="29">
        <v>13</v>
      </c>
      <c r="AB7" s="29">
        <v>0.22</v>
      </c>
      <c r="AC7" s="29">
        <v>0.55000000000000004</v>
      </c>
      <c r="AD7" s="29">
        <v>0.1</v>
      </c>
      <c r="AE7" s="29">
        <v>0.3</v>
      </c>
      <c r="AF7" s="29" t="s">
        <v>290</v>
      </c>
      <c r="AG7" s="29" t="s">
        <v>74</v>
      </c>
      <c r="AH7" s="29">
        <v>7.5</v>
      </c>
      <c r="AI7" s="29">
        <v>4.5999999999999999E-2</v>
      </c>
      <c r="AJ7" s="29">
        <v>8.6999999999999994E-2</v>
      </c>
      <c r="AK7" s="29">
        <v>3.5000000000000001E-3</v>
      </c>
      <c r="AL7" s="27" t="s">
        <v>292</v>
      </c>
      <c r="AM7" s="27" t="s">
        <v>305</v>
      </c>
      <c r="AN7" s="27" t="s">
        <v>293</v>
      </c>
      <c r="AO7" s="27" t="s">
        <v>259</v>
      </c>
      <c r="AP7" s="29">
        <v>1.2</v>
      </c>
      <c r="AQ7" s="26"/>
      <c r="AR7" s="28">
        <v>0.17</v>
      </c>
      <c r="AS7" s="30">
        <v>0.61</v>
      </c>
      <c r="AT7" s="30">
        <v>0.64</v>
      </c>
      <c r="AU7" s="30">
        <v>0.38</v>
      </c>
      <c r="AV7" s="30">
        <v>0.19</v>
      </c>
      <c r="AW7" s="29">
        <v>0.4</v>
      </c>
      <c r="AX7" s="27">
        <v>0.42</v>
      </c>
      <c r="AY7" s="27">
        <v>6.0999999999999999E-2</v>
      </c>
      <c r="AZ7" s="27">
        <v>2</v>
      </c>
      <c r="BA7" s="27">
        <v>0.69</v>
      </c>
      <c r="BB7" s="26">
        <v>0.83</v>
      </c>
      <c r="BC7" s="619">
        <f>SUM(AR7:AV7)/AZ7</f>
        <v>0.99499999999999988</v>
      </c>
      <c r="BD7" s="610">
        <f>(SUM(AW7:AY7)-AV7)/BA7</f>
        <v>1.001449275362319</v>
      </c>
      <c r="BF7" s="610" t="e">
        <f>E7/35.5</f>
        <v>#VALUE!</v>
      </c>
      <c r="BG7" s="610">
        <f>F7/62</f>
        <v>1.7741935483870969E-3</v>
      </c>
      <c r="BH7" s="610">
        <f>G7/(96/2)</f>
        <v>2.0833333333333332E-2</v>
      </c>
      <c r="BI7" s="610">
        <f>H7/23</f>
        <v>2.8695652173913043E-3</v>
      </c>
      <c r="BJ7" s="610">
        <f>I7/18</f>
        <v>1.6666666666666666E-2</v>
      </c>
      <c r="BK7" s="610" t="e">
        <f>J7/39</f>
        <v>#VALUE!</v>
      </c>
      <c r="BL7" s="610" t="e">
        <f>K7/(24.3/2)</f>
        <v>#VALUE!</v>
      </c>
      <c r="BM7" s="610">
        <f>L7/(40/2)</f>
        <v>2.5000000000000001E-3</v>
      </c>
      <c r="BN7" s="563" t="e">
        <f>SUM(BF7:BH7)*1000</f>
        <v>#VALUE!</v>
      </c>
      <c r="BO7" s="563" t="e">
        <f>SUM(BI7:BM7)*1000</f>
        <v>#VALUE!</v>
      </c>
      <c r="BP7" s="611" t="e">
        <f>BN7/BO7</f>
        <v>#VALUE!</v>
      </c>
      <c r="BR7" s="564">
        <f>1.375*G7</f>
        <v>1.375</v>
      </c>
      <c r="BS7" s="564">
        <f>1.29*F7</f>
        <v>0.1419</v>
      </c>
      <c r="BT7" s="564">
        <f>2.5*H7</f>
        <v>0.16500000000000001</v>
      </c>
      <c r="BU7" s="564">
        <f>1.6*AZ7</f>
        <v>3.2</v>
      </c>
      <c r="BV7" s="564">
        <f>BA7</f>
        <v>0.69</v>
      </c>
      <c r="BW7" s="564">
        <f>9.19/1000*N7</f>
        <v>0.60653999999999997</v>
      </c>
      <c r="BX7" s="564" t="e">
        <f t="shared" ref="BX7:BX20" si="0">Q7/1000*1.4</f>
        <v>#VALUE!</v>
      </c>
      <c r="BY7" s="564">
        <f>W7/1000*1.38</f>
        <v>8.9700000000000002E-2</v>
      </c>
      <c r="BZ7" s="564" t="e">
        <f>S7/1000*1.67</f>
        <v>#VALUE!</v>
      </c>
      <c r="CA7" s="564" t="e">
        <f>SUM(BR7:BZ7)</f>
        <v>#VALUE!</v>
      </c>
      <c r="CB7" s="611" t="e">
        <f>CA7/D7</f>
        <v>#VALUE!</v>
      </c>
      <c r="CD7" s="610">
        <f>AZ7/(AZ7+BA7)</f>
        <v>0.74349442379182162</v>
      </c>
      <c r="CE7" s="610">
        <f>BB7/AZ7</f>
        <v>0.41499999999999998</v>
      </c>
      <c r="CF7" s="610">
        <f t="shared" ref="CF7:CF12" si="1">IF(AW7-AV7&gt;0,AW7-AV7,0)</f>
        <v>0.21000000000000002</v>
      </c>
      <c r="CG7" s="610">
        <f t="shared" ref="CG7:CG12" si="2">IF(AW7-AV7&gt;0,AX7+AY7,AW7+AX7+AY7-AV7)</f>
        <v>0.48099999999999998</v>
      </c>
    </row>
    <row r="8" spans="2:85" ht="20.149999999999999" customHeight="1" x14ac:dyDescent="0.2">
      <c r="B8" s="31" t="s">
        <v>61</v>
      </c>
      <c r="C8" s="32" t="s">
        <v>199</v>
      </c>
      <c r="D8" s="33">
        <v>11.8</v>
      </c>
      <c r="E8" s="34" t="s">
        <v>285</v>
      </c>
      <c r="F8" s="35">
        <v>0.1</v>
      </c>
      <c r="G8" s="35">
        <v>1.9</v>
      </c>
      <c r="H8" s="36">
        <v>2.5999999999999999E-2</v>
      </c>
      <c r="I8" s="35">
        <v>0.59</v>
      </c>
      <c r="J8" s="35" t="s">
        <v>253</v>
      </c>
      <c r="K8" s="35" t="s">
        <v>287</v>
      </c>
      <c r="L8" s="32">
        <v>2.7E-2</v>
      </c>
      <c r="M8" s="34">
        <v>38</v>
      </c>
      <c r="N8" s="35" t="s">
        <v>296</v>
      </c>
      <c r="O8" s="35" t="s">
        <v>232</v>
      </c>
      <c r="P8" s="35">
        <v>53</v>
      </c>
      <c r="Q8" s="35" t="s">
        <v>289</v>
      </c>
      <c r="R8" s="35" t="s">
        <v>298</v>
      </c>
      <c r="S8" s="35" t="s">
        <v>290</v>
      </c>
      <c r="T8" s="35">
        <v>1.2</v>
      </c>
      <c r="U8" s="35">
        <v>2.6</v>
      </c>
      <c r="V8" s="35">
        <v>4.8</v>
      </c>
      <c r="W8" s="35">
        <v>61</v>
      </c>
      <c r="X8" s="35" t="s">
        <v>242</v>
      </c>
      <c r="Y8" s="35" t="s">
        <v>300</v>
      </c>
      <c r="Z8" s="35">
        <v>2.2999999999999998</v>
      </c>
      <c r="AA8" s="35">
        <v>21</v>
      </c>
      <c r="AB8" s="35">
        <v>0.56999999999999995</v>
      </c>
      <c r="AC8" s="35">
        <v>0.73</v>
      </c>
      <c r="AD8" s="35">
        <v>0.1</v>
      </c>
      <c r="AE8" s="35">
        <v>0.78</v>
      </c>
      <c r="AF8" s="35" t="s">
        <v>290</v>
      </c>
      <c r="AG8" s="35" t="s">
        <v>74</v>
      </c>
      <c r="AH8" s="35">
        <v>3.7</v>
      </c>
      <c r="AI8" s="35">
        <v>3.3000000000000002E-2</v>
      </c>
      <c r="AJ8" s="35">
        <v>6.4000000000000001E-2</v>
      </c>
      <c r="AK8" s="35" t="s">
        <v>306</v>
      </c>
      <c r="AL8" s="33" t="s">
        <v>292</v>
      </c>
      <c r="AM8" s="33" t="s">
        <v>305</v>
      </c>
      <c r="AN8" s="33" t="s">
        <v>293</v>
      </c>
      <c r="AO8" s="33" t="s">
        <v>259</v>
      </c>
      <c r="AP8" s="35">
        <v>1.7</v>
      </c>
      <c r="AQ8" s="32"/>
      <c r="AR8" s="34">
        <v>0.21</v>
      </c>
      <c r="AS8" s="36">
        <v>0.9</v>
      </c>
      <c r="AT8" s="36">
        <v>0.98</v>
      </c>
      <c r="AU8" s="36">
        <v>0.49</v>
      </c>
      <c r="AV8" s="36">
        <v>0.28999999999999998</v>
      </c>
      <c r="AW8" s="35">
        <v>0.73</v>
      </c>
      <c r="AX8" s="33">
        <v>0.84</v>
      </c>
      <c r="AY8" s="33">
        <v>0.11</v>
      </c>
      <c r="AZ8" s="33">
        <v>2.9</v>
      </c>
      <c r="BA8" s="33">
        <v>1.4</v>
      </c>
      <c r="BB8" s="32">
        <v>2.2000000000000002</v>
      </c>
      <c r="BC8" s="619">
        <f t="shared" ref="BC8:BC20" si="3">SUM(AR8:AV8)/AZ8</f>
        <v>0.98965517241379319</v>
      </c>
      <c r="BD8" s="610">
        <f t="shared" ref="BD8:BD20" si="4">(SUM(AW8:AY8)-AV8)/BA8</f>
        <v>0.99285714285714288</v>
      </c>
      <c r="BF8" s="610" t="e">
        <f t="shared" ref="BF8:BF20" si="5">E8/35.5</f>
        <v>#VALUE!</v>
      </c>
      <c r="BG8" s="610">
        <f t="shared" ref="BG8:BG20" si="6">F8/62</f>
        <v>1.6129032258064516E-3</v>
      </c>
      <c r="BH8" s="610">
        <f t="shared" ref="BH8:BH20" si="7">G8/(96/2)</f>
        <v>3.9583333333333331E-2</v>
      </c>
      <c r="BI8" s="610">
        <f t="shared" ref="BI8:BI20" si="8">H8/23</f>
        <v>1.1304347826086956E-3</v>
      </c>
      <c r="BJ8" s="610">
        <f t="shared" ref="BJ8:BJ20" si="9">I8/18</f>
        <v>3.2777777777777774E-2</v>
      </c>
      <c r="BK8" s="610" t="e">
        <f t="shared" ref="BK8:BK20" si="10">J8/39</f>
        <v>#VALUE!</v>
      </c>
      <c r="BL8" s="610" t="e">
        <f t="shared" ref="BL8:BL20" si="11">K8/(24.3/2)</f>
        <v>#VALUE!</v>
      </c>
      <c r="BM8" s="610">
        <f t="shared" ref="BM8:BM20" si="12">L8/(40/2)</f>
        <v>1.3500000000000001E-3</v>
      </c>
      <c r="BN8" s="563" t="e">
        <f t="shared" ref="BN8:BN20" si="13">SUM(BF8:BH8)*1000</f>
        <v>#VALUE!</v>
      </c>
      <c r="BO8" s="563" t="e">
        <f t="shared" ref="BO8:BO20" si="14">SUM(BI8:BM8)*1000</f>
        <v>#VALUE!</v>
      </c>
      <c r="BP8" s="611" t="e">
        <f t="shared" ref="BP8:BP20" si="15">BN8/BO8</f>
        <v>#VALUE!</v>
      </c>
      <c r="BR8" s="564">
        <f t="shared" ref="BR8:BR20" si="16">1.375*G8</f>
        <v>2.6124999999999998</v>
      </c>
      <c r="BS8" s="564">
        <f t="shared" ref="BS8:BS20" si="17">1.29*F8</f>
        <v>0.129</v>
      </c>
      <c r="BT8" s="564">
        <f t="shared" ref="BT8:BT20" si="18">2.5*H8</f>
        <v>6.5000000000000002E-2</v>
      </c>
      <c r="BU8" s="564">
        <f t="shared" ref="BU8:BU20" si="19">1.6*AZ8</f>
        <v>4.6399999999999997</v>
      </c>
      <c r="BV8" s="564">
        <f t="shared" ref="BV8:BV20" si="20">BA8</f>
        <v>1.4</v>
      </c>
      <c r="BW8" s="564" t="e">
        <f t="shared" ref="BW8:BW20" si="21">9.19/1000*N8</f>
        <v>#VALUE!</v>
      </c>
      <c r="BX8" s="564" t="e">
        <f t="shared" si="0"/>
        <v>#VALUE!</v>
      </c>
      <c r="BY8" s="564">
        <f t="shared" ref="BY8:BY20" si="22">W8/1000*1.38</f>
        <v>8.4179999999999991E-2</v>
      </c>
      <c r="BZ8" s="564" t="e">
        <f t="shared" ref="BZ8:BZ20" si="23">S8/1000*1.67</f>
        <v>#VALUE!</v>
      </c>
      <c r="CA8" s="564" t="e">
        <f t="shared" ref="CA8:CA20" si="24">SUM(BR8:BZ8)</f>
        <v>#VALUE!</v>
      </c>
      <c r="CB8" s="611" t="e">
        <f t="shared" ref="CB8:CB20" si="25">CA8/D8</f>
        <v>#VALUE!</v>
      </c>
      <c r="CD8" s="610">
        <f t="shared" ref="CD8:CD20" si="26">AZ8/(AZ8+BA8)</f>
        <v>0.67441860465116277</v>
      </c>
      <c r="CE8" s="610">
        <f t="shared" ref="CE8:CE20" si="27">BB8/AZ8</f>
        <v>0.75862068965517249</v>
      </c>
      <c r="CF8" s="610">
        <f t="shared" si="1"/>
        <v>0.44</v>
      </c>
      <c r="CG8" s="610">
        <f t="shared" si="2"/>
        <v>0.95</v>
      </c>
    </row>
    <row r="9" spans="2:85" ht="20.149999999999999" customHeight="1" x14ac:dyDescent="0.2">
      <c r="B9" s="31" t="s">
        <v>61</v>
      </c>
      <c r="C9" s="37" t="s">
        <v>200</v>
      </c>
      <c r="D9" s="33">
        <v>11.8</v>
      </c>
      <c r="E9" s="34" t="s">
        <v>285</v>
      </c>
      <c r="F9" s="35">
        <v>0.18</v>
      </c>
      <c r="G9" s="35">
        <v>2.2000000000000002</v>
      </c>
      <c r="H9" s="36">
        <v>0.04</v>
      </c>
      <c r="I9" s="35">
        <v>0.64</v>
      </c>
      <c r="J9" s="35" t="s">
        <v>253</v>
      </c>
      <c r="K9" s="35" t="s">
        <v>287</v>
      </c>
      <c r="L9" s="32">
        <v>2.5000000000000001E-2</v>
      </c>
      <c r="M9" s="34">
        <v>60</v>
      </c>
      <c r="N9" s="35" t="s">
        <v>296</v>
      </c>
      <c r="O9" s="35" t="s">
        <v>232</v>
      </c>
      <c r="P9" s="35">
        <v>84</v>
      </c>
      <c r="Q9" s="35" t="s">
        <v>289</v>
      </c>
      <c r="R9" s="35" t="s">
        <v>298</v>
      </c>
      <c r="S9" s="35" t="s">
        <v>290</v>
      </c>
      <c r="T9" s="35">
        <v>0.98</v>
      </c>
      <c r="U9" s="35">
        <v>1.5</v>
      </c>
      <c r="V9" s="35">
        <v>6.2</v>
      </c>
      <c r="W9" s="35">
        <v>65</v>
      </c>
      <c r="X9" s="35" t="s">
        <v>242</v>
      </c>
      <c r="Y9" s="35" t="s">
        <v>300</v>
      </c>
      <c r="Z9" s="35">
        <v>2.6</v>
      </c>
      <c r="AA9" s="35">
        <v>25</v>
      </c>
      <c r="AB9" s="35">
        <v>0.56999999999999995</v>
      </c>
      <c r="AC9" s="35">
        <v>0.61</v>
      </c>
      <c r="AD9" s="35">
        <v>0.15</v>
      </c>
      <c r="AE9" s="35">
        <v>0.98</v>
      </c>
      <c r="AF9" s="35" t="s">
        <v>290</v>
      </c>
      <c r="AG9" s="35" t="s">
        <v>74</v>
      </c>
      <c r="AH9" s="35">
        <v>3.5</v>
      </c>
      <c r="AI9" s="35">
        <v>5.2999999999999999E-2</v>
      </c>
      <c r="AJ9" s="35">
        <v>0.11</v>
      </c>
      <c r="AK9" s="35">
        <v>2.3999999999999998E-3</v>
      </c>
      <c r="AL9" s="33" t="s">
        <v>292</v>
      </c>
      <c r="AM9" s="33">
        <v>0.12</v>
      </c>
      <c r="AN9" s="33" t="s">
        <v>293</v>
      </c>
      <c r="AO9" s="33" t="s">
        <v>259</v>
      </c>
      <c r="AP9" s="35">
        <v>2.5</v>
      </c>
      <c r="AQ9" s="32"/>
      <c r="AR9" s="34">
        <v>0.28999999999999998</v>
      </c>
      <c r="AS9" s="36">
        <v>1.1000000000000001</v>
      </c>
      <c r="AT9" s="36">
        <v>1.3</v>
      </c>
      <c r="AU9" s="36">
        <v>0.67</v>
      </c>
      <c r="AV9" s="36">
        <v>0.51</v>
      </c>
      <c r="AW9" s="35">
        <v>1.1000000000000001</v>
      </c>
      <c r="AX9" s="33">
        <v>0.9</v>
      </c>
      <c r="AY9" s="33">
        <v>0.1</v>
      </c>
      <c r="AZ9" s="33">
        <v>3.9</v>
      </c>
      <c r="BA9" s="33">
        <v>1.6</v>
      </c>
      <c r="BB9" s="32">
        <v>2.1</v>
      </c>
      <c r="BC9" s="619">
        <f t="shared" si="3"/>
        <v>0.99230769230769234</v>
      </c>
      <c r="BD9" s="610">
        <f t="shared" si="4"/>
        <v>0.99375000000000002</v>
      </c>
      <c r="BF9" s="610" t="e">
        <f t="shared" si="5"/>
        <v>#VALUE!</v>
      </c>
      <c r="BG9" s="610">
        <f t="shared" si="6"/>
        <v>2.9032258064516127E-3</v>
      </c>
      <c r="BH9" s="610">
        <f t="shared" si="7"/>
        <v>4.5833333333333337E-2</v>
      </c>
      <c r="BI9" s="610">
        <f t="shared" si="8"/>
        <v>1.7391304347826088E-3</v>
      </c>
      <c r="BJ9" s="610">
        <f t="shared" si="9"/>
        <v>3.5555555555555556E-2</v>
      </c>
      <c r="BK9" s="610" t="e">
        <f t="shared" si="10"/>
        <v>#VALUE!</v>
      </c>
      <c r="BL9" s="610" t="e">
        <f t="shared" si="11"/>
        <v>#VALUE!</v>
      </c>
      <c r="BM9" s="610">
        <f t="shared" si="12"/>
        <v>1.25E-3</v>
      </c>
      <c r="BN9" s="563" t="e">
        <f t="shared" si="13"/>
        <v>#VALUE!</v>
      </c>
      <c r="BO9" s="563" t="e">
        <f t="shared" si="14"/>
        <v>#VALUE!</v>
      </c>
      <c r="BP9" s="611" t="e">
        <f t="shared" si="15"/>
        <v>#VALUE!</v>
      </c>
      <c r="BR9" s="564">
        <f t="shared" si="16"/>
        <v>3.0250000000000004</v>
      </c>
      <c r="BS9" s="564">
        <f t="shared" si="17"/>
        <v>0.23219999999999999</v>
      </c>
      <c r="BT9" s="564">
        <f t="shared" si="18"/>
        <v>0.1</v>
      </c>
      <c r="BU9" s="564">
        <f t="shared" si="19"/>
        <v>6.24</v>
      </c>
      <c r="BV9" s="564">
        <f t="shared" si="20"/>
        <v>1.6</v>
      </c>
      <c r="BW9" s="564" t="e">
        <f t="shared" si="21"/>
        <v>#VALUE!</v>
      </c>
      <c r="BX9" s="564" t="e">
        <f t="shared" si="0"/>
        <v>#VALUE!</v>
      </c>
      <c r="BY9" s="564">
        <f t="shared" si="22"/>
        <v>8.9700000000000002E-2</v>
      </c>
      <c r="BZ9" s="564" t="e">
        <f t="shared" si="23"/>
        <v>#VALUE!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0.70909090909090911</v>
      </c>
      <c r="CE9" s="610">
        <f t="shared" si="27"/>
        <v>0.53846153846153855</v>
      </c>
      <c r="CF9" s="610">
        <f t="shared" si="1"/>
        <v>0.59000000000000008</v>
      </c>
      <c r="CG9" s="610">
        <f t="shared" si="2"/>
        <v>1</v>
      </c>
    </row>
    <row r="10" spans="2:85" ht="20.149999999999999" customHeight="1" x14ac:dyDescent="0.2">
      <c r="B10" s="31" t="s">
        <v>61</v>
      </c>
      <c r="C10" s="32" t="s">
        <v>82</v>
      </c>
      <c r="D10" s="33">
        <v>26.9</v>
      </c>
      <c r="E10" s="34" t="s">
        <v>285</v>
      </c>
      <c r="F10" s="35">
        <v>9.1999999999999998E-2</v>
      </c>
      <c r="G10" s="35">
        <v>5.2</v>
      </c>
      <c r="H10" s="36">
        <v>6.7000000000000004E-2</v>
      </c>
      <c r="I10" s="35">
        <v>1.7</v>
      </c>
      <c r="J10" s="35">
        <v>0.24</v>
      </c>
      <c r="K10" s="35">
        <v>1.9E-2</v>
      </c>
      <c r="L10" s="32">
        <v>4.4999999999999998E-2</v>
      </c>
      <c r="M10" s="34">
        <v>110</v>
      </c>
      <c r="N10" s="35">
        <v>68</v>
      </c>
      <c r="O10" s="35" t="s">
        <v>232</v>
      </c>
      <c r="P10" s="35">
        <v>400</v>
      </c>
      <c r="Q10" s="35" t="s">
        <v>289</v>
      </c>
      <c r="R10" s="35" t="s">
        <v>298</v>
      </c>
      <c r="S10" s="35" t="s">
        <v>290</v>
      </c>
      <c r="T10" s="35">
        <v>6.3</v>
      </c>
      <c r="U10" s="35">
        <v>1.2</v>
      </c>
      <c r="V10" s="35">
        <v>9.6</v>
      </c>
      <c r="W10" s="35">
        <v>140</v>
      </c>
      <c r="X10" s="35" t="s">
        <v>242</v>
      </c>
      <c r="Y10" s="35">
        <v>1.5</v>
      </c>
      <c r="Z10" s="35">
        <v>7.6</v>
      </c>
      <c r="AA10" s="35">
        <v>56</v>
      </c>
      <c r="AB10" s="35">
        <v>1.1000000000000001</v>
      </c>
      <c r="AC10" s="35">
        <v>1.6</v>
      </c>
      <c r="AD10" s="35">
        <v>0.32</v>
      </c>
      <c r="AE10" s="35">
        <v>1.1000000000000001</v>
      </c>
      <c r="AF10" s="35" t="s">
        <v>290</v>
      </c>
      <c r="AG10" s="35" t="s">
        <v>74</v>
      </c>
      <c r="AH10" s="35">
        <v>14</v>
      </c>
      <c r="AI10" s="35">
        <v>0.13</v>
      </c>
      <c r="AJ10" s="35">
        <v>0.18</v>
      </c>
      <c r="AK10" s="35">
        <v>4.3E-3</v>
      </c>
      <c r="AL10" s="33" t="s">
        <v>292</v>
      </c>
      <c r="AM10" s="33">
        <v>0.32</v>
      </c>
      <c r="AN10" s="33" t="s">
        <v>293</v>
      </c>
      <c r="AO10" s="33" t="s">
        <v>259</v>
      </c>
      <c r="AP10" s="35">
        <v>6.4</v>
      </c>
      <c r="AQ10" s="32"/>
      <c r="AR10" s="34">
        <v>0.86</v>
      </c>
      <c r="AS10" s="36">
        <v>1.9</v>
      </c>
      <c r="AT10" s="36">
        <v>1.9</v>
      </c>
      <c r="AU10" s="36">
        <v>1.1000000000000001</v>
      </c>
      <c r="AV10" s="36">
        <v>1.6</v>
      </c>
      <c r="AW10" s="35">
        <v>2.6</v>
      </c>
      <c r="AX10" s="33">
        <v>0.71</v>
      </c>
      <c r="AY10" s="33">
        <v>0.11</v>
      </c>
      <c r="AZ10" s="33">
        <v>7.4</v>
      </c>
      <c r="BA10" s="33">
        <v>1.8</v>
      </c>
      <c r="BB10" s="32">
        <v>5.6</v>
      </c>
      <c r="BC10" s="619">
        <f t="shared" si="3"/>
        <v>0.99459459459459443</v>
      </c>
      <c r="BD10" s="610">
        <f t="shared" si="4"/>
        <v>1.0111111111111111</v>
      </c>
      <c r="BF10" s="610" t="e">
        <f t="shared" si="5"/>
        <v>#VALUE!</v>
      </c>
      <c r="BG10" s="610">
        <f t="shared" si="6"/>
        <v>1.4838709677419354E-3</v>
      </c>
      <c r="BH10" s="610">
        <f t="shared" si="7"/>
        <v>0.10833333333333334</v>
      </c>
      <c r="BI10" s="610">
        <f t="shared" si="8"/>
        <v>2.9130434782608699E-3</v>
      </c>
      <c r="BJ10" s="610">
        <f t="shared" si="9"/>
        <v>9.4444444444444442E-2</v>
      </c>
      <c r="BK10" s="610">
        <f t="shared" si="10"/>
        <v>6.1538461538461538E-3</v>
      </c>
      <c r="BL10" s="610">
        <f t="shared" si="11"/>
        <v>1.5637860082304525E-3</v>
      </c>
      <c r="BM10" s="610">
        <f t="shared" si="12"/>
        <v>2.2499999999999998E-3</v>
      </c>
      <c r="BN10" s="563" t="e">
        <f t="shared" si="13"/>
        <v>#VALUE!</v>
      </c>
      <c r="BO10" s="563">
        <f t="shared" si="14"/>
        <v>107.32512008478191</v>
      </c>
      <c r="BP10" s="611" t="e">
        <f t="shared" si="15"/>
        <v>#VALUE!</v>
      </c>
      <c r="BR10" s="564">
        <f t="shared" si="16"/>
        <v>7.15</v>
      </c>
      <c r="BS10" s="564">
        <f t="shared" si="17"/>
        <v>0.11868000000000001</v>
      </c>
      <c r="BT10" s="564">
        <f t="shared" si="18"/>
        <v>0.16750000000000001</v>
      </c>
      <c r="BU10" s="564">
        <f t="shared" si="19"/>
        <v>11.840000000000002</v>
      </c>
      <c r="BV10" s="564">
        <f t="shared" si="20"/>
        <v>1.8</v>
      </c>
      <c r="BW10" s="564">
        <f t="shared" si="21"/>
        <v>0.62492000000000003</v>
      </c>
      <c r="BX10" s="564" t="e">
        <f t="shared" si="0"/>
        <v>#VALUE!</v>
      </c>
      <c r="BY10" s="564">
        <f t="shared" si="22"/>
        <v>0.19320000000000001</v>
      </c>
      <c r="BZ10" s="564" t="e">
        <f t="shared" si="23"/>
        <v>#VALUE!</v>
      </c>
      <c r="CA10" s="564" t="e">
        <f t="shared" si="24"/>
        <v>#VALUE!</v>
      </c>
      <c r="CB10" s="611" t="e">
        <f t="shared" si="25"/>
        <v>#VALUE!</v>
      </c>
      <c r="CD10" s="610">
        <f t="shared" si="26"/>
        <v>0.80434782608695643</v>
      </c>
      <c r="CE10" s="610">
        <f t="shared" si="27"/>
        <v>0.75675675675675669</v>
      </c>
      <c r="CF10" s="610">
        <f t="shared" si="1"/>
        <v>1</v>
      </c>
      <c r="CG10" s="610">
        <f t="shared" si="2"/>
        <v>0.82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25.6</v>
      </c>
      <c r="E11" s="42" t="s">
        <v>285</v>
      </c>
      <c r="F11" s="43">
        <v>7.6999999999999999E-2</v>
      </c>
      <c r="G11" s="43">
        <v>6.3</v>
      </c>
      <c r="H11" s="44">
        <v>0.11</v>
      </c>
      <c r="I11" s="43">
        <v>2.2000000000000002</v>
      </c>
      <c r="J11" s="43">
        <v>0.15</v>
      </c>
      <c r="K11" s="43">
        <v>2.1999999999999999E-2</v>
      </c>
      <c r="L11" s="45">
        <v>4.9000000000000002E-2</v>
      </c>
      <c r="M11" s="42">
        <v>120</v>
      </c>
      <c r="N11" s="43" t="s">
        <v>296</v>
      </c>
      <c r="O11" s="43" t="s">
        <v>232</v>
      </c>
      <c r="P11" s="43">
        <v>180</v>
      </c>
      <c r="Q11" s="43" t="s">
        <v>289</v>
      </c>
      <c r="R11" s="43" t="s">
        <v>298</v>
      </c>
      <c r="S11" s="43" t="s">
        <v>290</v>
      </c>
      <c r="T11" s="43">
        <v>5.3</v>
      </c>
      <c r="U11" s="43">
        <v>1.7</v>
      </c>
      <c r="V11" s="43">
        <v>4.5999999999999996</v>
      </c>
      <c r="W11" s="43">
        <v>99</v>
      </c>
      <c r="X11" s="43" t="s">
        <v>242</v>
      </c>
      <c r="Y11" s="43">
        <v>1.3</v>
      </c>
      <c r="Z11" s="43">
        <v>3.7</v>
      </c>
      <c r="AA11" s="43">
        <v>34</v>
      </c>
      <c r="AB11" s="43">
        <v>0.51</v>
      </c>
      <c r="AC11" s="43">
        <v>1.1000000000000001</v>
      </c>
      <c r="AD11" s="43">
        <v>0.22</v>
      </c>
      <c r="AE11" s="43">
        <v>0.93</v>
      </c>
      <c r="AF11" s="43" t="s">
        <v>290</v>
      </c>
      <c r="AG11" s="43" t="s">
        <v>74</v>
      </c>
      <c r="AH11" s="43">
        <v>7.8</v>
      </c>
      <c r="AI11" s="43">
        <v>7.4999999999999997E-2</v>
      </c>
      <c r="AJ11" s="43">
        <v>7.6999999999999999E-2</v>
      </c>
      <c r="AK11" s="43" t="s">
        <v>306</v>
      </c>
      <c r="AL11" s="41" t="s">
        <v>292</v>
      </c>
      <c r="AM11" s="41">
        <v>0.34</v>
      </c>
      <c r="AN11" s="41" t="s">
        <v>293</v>
      </c>
      <c r="AO11" s="41" t="s">
        <v>259</v>
      </c>
      <c r="AP11" s="43">
        <v>3.9</v>
      </c>
      <c r="AQ11" s="45"/>
      <c r="AR11" s="42">
        <v>0.4</v>
      </c>
      <c r="AS11" s="44">
        <v>1.8</v>
      </c>
      <c r="AT11" s="44">
        <v>1.5</v>
      </c>
      <c r="AU11" s="44">
        <v>1.1000000000000001</v>
      </c>
      <c r="AV11" s="44">
        <v>1.7</v>
      </c>
      <c r="AW11" s="43">
        <v>2.4</v>
      </c>
      <c r="AX11" s="41">
        <v>0.6</v>
      </c>
      <c r="AY11" s="41">
        <v>5.5E-2</v>
      </c>
      <c r="AZ11" s="41">
        <v>6.5</v>
      </c>
      <c r="BA11" s="41">
        <v>1.4</v>
      </c>
      <c r="BB11" s="45">
        <v>5</v>
      </c>
      <c r="BC11" s="620">
        <f t="shared" si="3"/>
        <v>1.0000000000000002</v>
      </c>
      <c r="BD11" s="617">
        <f t="shared" si="4"/>
        <v>0.96785714285714308</v>
      </c>
      <c r="BE11" s="616"/>
      <c r="BF11" s="617" t="e">
        <f t="shared" si="5"/>
        <v>#VALUE!</v>
      </c>
      <c r="BG11" s="617">
        <f t="shared" si="6"/>
        <v>1.2419354838709678E-3</v>
      </c>
      <c r="BH11" s="617">
        <f t="shared" si="7"/>
        <v>0.13125000000000001</v>
      </c>
      <c r="BI11" s="617">
        <f t="shared" si="8"/>
        <v>4.7826086956521737E-3</v>
      </c>
      <c r="BJ11" s="617">
        <f t="shared" si="9"/>
        <v>0.12222222222222223</v>
      </c>
      <c r="BK11" s="617">
        <f t="shared" si="10"/>
        <v>3.8461538461538459E-3</v>
      </c>
      <c r="BL11" s="617">
        <f t="shared" si="11"/>
        <v>1.810699588477366E-3</v>
      </c>
      <c r="BM11" s="617">
        <f t="shared" si="12"/>
        <v>2.4499999999999999E-3</v>
      </c>
      <c r="BN11" s="621" t="e">
        <f t="shared" si="13"/>
        <v>#VALUE!</v>
      </c>
      <c r="BO11" s="621">
        <f t="shared" si="14"/>
        <v>135.11168435250562</v>
      </c>
      <c r="BP11" s="618" t="e">
        <f t="shared" si="15"/>
        <v>#VALUE!</v>
      </c>
      <c r="BQ11" s="616"/>
      <c r="BR11" s="615">
        <f t="shared" si="16"/>
        <v>8.6624999999999996</v>
      </c>
      <c r="BS11" s="615">
        <f t="shared" si="17"/>
        <v>9.9330000000000002E-2</v>
      </c>
      <c r="BT11" s="615">
        <f t="shared" si="18"/>
        <v>0.27500000000000002</v>
      </c>
      <c r="BU11" s="615">
        <f t="shared" si="19"/>
        <v>10.4</v>
      </c>
      <c r="BV11" s="615">
        <f t="shared" si="20"/>
        <v>1.4</v>
      </c>
      <c r="BW11" s="615" t="e">
        <f t="shared" si="21"/>
        <v>#VALUE!</v>
      </c>
      <c r="BX11" s="615" t="e">
        <f t="shared" si="0"/>
        <v>#VALUE!</v>
      </c>
      <c r="BY11" s="615">
        <f t="shared" si="22"/>
        <v>0.13661999999999999</v>
      </c>
      <c r="BZ11" s="615" t="e">
        <f t="shared" si="23"/>
        <v>#VALUE!</v>
      </c>
      <c r="CA11" s="615" t="e">
        <f t="shared" si="24"/>
        <v>#VALUE!</v>
      </c>
      <c r="CB11" s="618" t="e">
        <f t="shared" si="25"/>
        <v>#VALUE!</v>
      </c>
      <c r="CC11" s="617"/>
      <c r="CD11" s="617">
        <f t="shared" si="26"/>
        <v>0.82278481012658222</v>
      </c>
      <c r="CE11" s="617">
        <f t="shared" si="27"/>
        <v>0.76923076923076927</v>
      </c>
      <c r="CF11" s="617">
        <f t="shared" si="1"/>
        <v>0.7</v>
      </c>
      <c r="CG11" s="617">
        <f t="shared" si="2"/>
        <v>0.65500000000000003</v>
      </c>
    </row>
    <row r="12" spans="2:85" ht="20.149999999999999" customHeight="1" x14ac:dyDescent="0.2">
      <c r="B12" s="31" t="s">
        <v>202</v>
      </c>
      <c r="C12" s="46" t="s">
        <v>203</v>
      </c>
      <c r="D12" s="47">
        <v>21.1</v>
      </c>
      <c r="E12" s="630">
        <f t="shared" ref="E12:E18" si="28">0.5*0.016</f>
        <v>8.0000000000000002E-3</v>
      </c>
      <c r="F12" s="49">
        <v>0.26</v>
      </c>
      <c r="G12" s="49">
        <v>5.4</v>
      </c>
      <c r="H12" s="50">
        <v>0.24</v>
      </c>
      <c r="I12" s="49">
        <v>1.8</v>
      </c>
      <c r="J12" s="49">
        <v>9.5000000000000001E-2</v>
      </c>
      <c r="K12" s="49">
        <v>3.2000000000000001E-2</v>
      </c>
      <c r="L12" s="37">
        <v>4.1000000000000002E-2</v>
      </c>
      <c r="M12" s="48">
        <v>270</v>
      </c>
      <c r="N12" s="49">
        <v>67</v>
      </c>
      <c r="O12" s="49" t="s">
        <v>232</v>
      </c>
      <c r="P12" s="49">
        <v>170</v>
      </c>
      <c r="Q12" s="625">
        <f t="shared" ref="Q12:Q18" si="29">0.5*170</f>
        <v>85</v>
      </c>
      <c r="R12" s="625">
        <f>0.5*0.012</f>
        <v>6.0000000000000001E-3</v>
      </c>
      <c r="S12" s="49" t="s">
        <v>290</v>
      </c>
      <c r="T12" s="49">
        <v>5.7</v>
      </c>
      <c r="U12" s="49">
        <v>1.3</v>
      </c>
      <c r="V12" s="49">
        <v>5.9</v>
      </c>
      <c r="W12" s="49">
        <v>97</v>
      </c>
      <c r="X12" s="625">
        <f t="shared" ref="X12:X18" si="30">0.5*0.23</f>
        <v>0.115</v>
      </c>
      <c r="Y12" s="49">
        <v>1.9</v>
      </c>
      <c r="Z12" s="49">
        <v>2.7</v>
      </c>
      <c r="AA12" s="49">
        <v>41</v>
      </c>
      <c r="AB12" s="49">
        <v>0.44</v>
      </c>
      <c r="AC12" s="49">
        <v>0.88</v>
      </c>
      <c r="AD12" s="49">
        <v>0.27</v>
      </c>
      <c r="AE12" s="49">
        <v>0.7</v>
      </c>
      <c r="AF12" s="49" t="s">
        <v>290</v>
      </c>
      <c r="AG12" s="625">
        <f>0.5*0.035</f>
        <v>1.7500000000000002E-2</v>
      </c>
      <c r="AH12" s="49">
        <v>7.6</v>
      </c>
      <c r="AI12" s="49">
        <v>0.11</v>
      </c>
      <c r="AJ12" s="49">
        <v>0.11</v>
      </c>
      <c r="AK12" s="49">
        <v>4.3E-3</v>
      </c>
      <c r="AL12" s="627">
        <f t="shared" ref="AL12:AL18" si="31">0.5*0.023</f>
        <v>1.15E-2</v>
      </c>
      <c r="AM12" s="47">
        <v>0.33</v>
      </c>
      <c r="AN12" s="627">
        <f t="shared" ref="AN12:AN18" si="32">0.5*0.025</f>
        <v>1.2500000000000001E-2</v>
      </c>
      <c r="AO12" s="627">
        <f t="shared" ref="AO12:AO18" si="33">0.5*0.02</f>
        <v>0.01</v>
      </c>
      <c r="AP12" s="49">
        <v>4.3</v>
      </c>
      <c r="AQ12" s="37"/>
      <c r="AR12" s="48">
        <v>0.28000000000000003</v>
      </c>
      <c r="AS12" s="50">
        <v>1.3</v>
      </c>
      <c r="AT12" s="50">
        <v>1.2</v>
      </c>
      <c r="AU12" s="50">
        <v>0.72</v>
      </c>
      <c r="AV12" s="50">
        <v>1.3</v>
      </c>
      <c r="AW12" s="49">
        <v>2</v>
      </c>
      <c r="AX12" s="47">
        <v>0.81</v>
      </c>
      <c r="AY12" s="47">
        <v>0.1</v>
      </c>
      <c r="AZ12" s="47">
        <v>4.8</v>
      </c>
      <c r="BA12" s="47">
        <v>1.6</v>
      </c>
      <c r="BB12" s="37">
        <v>3.6</v>
      </c>
      <c r="BC12" s="619">
        <f t="shared" si="3"/>
        <v>1</v>
      </c>
      <c r="BD12" s="610">
        <f t="shared" si="4"/>
        <v>1.0062500000000001</v>
      </c>
      <c r="BF12" s="610">
        <f t="shared" si="5"/>
        <v>2.2535211267605634E-4</v>
      </c>
      <c r="BG12" s="610">
        <f t="shared" si="6"/>
        <v>4.193548387096774E-3</v>
      </c>
      <c r="BH12" s="610">
        <f t="shared" si="7"/>
        <v>0.1125</v>
      </c>
      <c r="BI12" s="610">
        <f t="shared" si="8"/>
        <v>1.0434782608695651E-2</v>
      </c>
      <c r="BJ12" s="610">
        <f t="shared" si="9"/>
        <v>0.1</v>
      </c>
      <c r="BK12" s="610">
        <f t="shared" si="10"/>
        <v>2.435897435897436E-3</v>
      </c>
      <c r="BL12" s="610">
        <f t="shared" si="11"/>
        <v>2.633744855967078E-3</v>
      </c>
      <c r="BM12" s="610">
        <f t="shared" si="12"/>
        <v>2.0500000000000002E-3</v>
      </c>
      <c r="BN12" s="563">
        <f t="shared" si="13"/>
        <v>116.91890049977283</v>
      </c>
      <c r="BO12" s="563">
        <f t="shared" si="14"/>
        <v>117.55442490056018</v>
      </c>
      <c r="BP12" s="611">
        <f t="shared" si="15"/>
        <v>0.99459378580325719</v>
      </c>
      <c r="BR12" s="564">
        <f t="shared" si="16"/>
        <v>7.4250000000000007</v>
      </c>
      <c r="BS12" s="564">
        <f t="shared" si="17"/>
        <v>0.33540000000000003</v>
      </c>
      <c r="BT12" s="564">
        <f t="shared" si="18"/>
        <v>0.6</v>
      </c>
      <c r="BU12" s="564">
        <f t="shared" si="19"/>
        <v>7.68</v>
      </c>
      <c r="BV12" s="564">
        <f t="shared" si="20"/>
        <v>1.6</v>
      </c>
      <c r="BW12" s="564">
        <f t="shared" si="21"/>
        <v>0.61573</v>
      </c>
      <c r="BX12" s="564">
        <f t="shared" si="0"/>
        <v>0.11899999999999999</v>
      </c>
      <c r="BY12" s="564">
        <f t="shared" si="22"/>
        <v>0.13386000000000001</v>
      </c>
      <c r="BZ12" s="564"/>
      <c r="CA12" s="564">
        <f t="shared" si="24"/>
        <v>18.508989999999997</v>
      </c>
      <c r="CB12" s="611">
        <f t="shared" si="25"/>
        <v>0.87720331753554481</v>
      </c>
      <c r="CC12" s="610"/>
      <c r="CD12" s="610">
        <f t="shared" si="26"/>
        <v>0.74999999999999989</v>
      </c>
      <c r="CE12" s="610">
        <f t="shared" si="27"/>
        <v>0.75</v>
      </c>
      <c r="CF12" s="610">
        <f t="shared" si="1"/>
        <v>0.7</v>
      </c>
      <c r="CG12" s="610">
        <f t="shared" si="2"/>
        <v>0.91</v>
      </c>
    </row>
    <row r="13" spans="2:85" ht="20.149999999999999" customHeight="1" x14ac:dyDescent="0.2">
      <c r="B13" s="31" t="s">
        <v>202</v>
      </c>
      <c r="C13" s="40" t="s">
        <v>204</v>
      </c>
      <c r="D13" s="33">
        <v>23.2</v>
      </c>
      <c r="E13" s="623">
        <f t="shared" si="28"/>
        <v>8.0000000000000002E-3</v>
      </c>
      <c r="F13" s="35">
        <v>0.18</v>
      </c>
      <c r="G13" s="35">
        <v>6.2</v>
      </c>
      <c r="H13" s="36">
        <v>7.0000000000000007E-2</v>
      </c>
      <c r="I13" s="35">
        <v>2.2000000000000002</v>
      </c>
      <c r="J13" s="35">
        <v>3.3000000000000002E-2</v>
      </c>
      <c r="K13" s="624">
        <f>0.5*0.015</f>
        <v>7.4999999999999997E-3</v>
      </c>
      <c r="L13" s="32">
        <v>3.6999999999999998E-2</v>
      </c>
      <c r="M13" s="34">
        <v>88</v>
      </c>
      <c r="N13" s="624">
        <f>0.5*55</f>
        <v>27.5</v>
      </c>
      <c r="O13" s="35" t="s">
        <v>232</v>
      </c>
      <c r="P13" s="35">
        <v>77</v>
      </c>
      <c r="Q13" s="624">
        <f t="shared" si="29"/>
        <v>85</v>
      </c>
      <c r="R13" s="624">
        <f>0.5*0.012</f>
        <v>6.0000000000000001E-3</v>
      </c>
      <c r="S13" s="35" t="s">
        <v>290</v>
      </c>
      <c r="T13" s="35">
        <v>2.8</v>
      </c>
      <c r="U13" s="35">
        <v>1.5</v>
      </c>
      <c r="V13" s="35">
        <v>5.6</v>
      </c>
      <c r="W13" s="35">
        <v>76</v>
      </c>
      <c r="X13" s="624">
        <f t="shared" si="30"/>
        <v>0.115</v>
      </c>
      <c r="Y13" s="35">
        <v>0.96</v>
      </c>
      <c r="Z13" s="35">
        <v>2.9</v>
      </c>
      <c r="AA13" s="35">
        <v>24</v>
      </c>
      <c r="AB13" s="35">
        <v>1</v>
      </c>
      <c r="AC13" s="35">
        <v>0.84</v>
      </c>
      <c r="AD13" s="35">
        <v>0.15</v>
      </c>
      <c r="AE13" s="35">
        <v>0.48</v>
      </c>
      <c r="AF13" s="35" t="s">
        <v>290</v>
      </c>
      <c r="AG13" s="624">
        <f>0.5*0.035</f>
        <v>1.7500000000000002E-2</v>
      </c>
      <c r="AH13" s="35">
        <v>5.2</v>
      </c>
      <c r="AI13" s="35">
        <v>6.5000000000000002E-2</v>
      </c>
      <c r="AJ13" s="35">
        <v>6.8000000000000005E-2</v>
      </c>
      <c r="AK13" s="35">
        <v>4.4000000000000003E-3</v>
      </c>
      <c r="AL13" s="628">
        <f t="shared" si="31"/>
        <v>1.15E-2</v>
      </c>
      <c r="AM13" s="33">
        <v>0.21</v>
      </c>
      <c r="AN13" s="628">
        <f t="shared" si="32"/>
        <v>1.2500000000000001E-2</v>
      </c>
      <c r="AO13" s="628">
        <f t="shared" si="33"/>
        <v>0.01</v>
      </c>
      <c r="AP13" s="35">
        <v>4.0999999999999996</v>
      </c>
      <c r="AQ13" s="32"/>
      <c r="AR13" s="34">
        <v>0.37</v>
      </c>
      <c r="AS13" s="36">
        <v>1.7</v>
      </c>
      <c r="AT13" s="36">
        <v>1.3</v>
      </c>
      <c r="AU13" s="36">
        <v>0.71</v>
      </c>
      <c r="AV13" s="36">
        <v>1.4</v>
      </c>
      <c r="AW13" s="35">
        <v>1.9</v>
      </c>
      <c r="AX13" s="33">
        <v>1.4</v>
      </c>
      <c r="AY13" s="33">
        <v>0.1</v>
      </c>
      <c r="AZ13" s="33">
        <v>5.5</v>
      </c>
      <c r="BA13" s="33">
        <v>2</v>
      </c>
      <c r="BB13" s="32">
        <v>4.5999999999999996</v>
      </c>
      <c r="BC13" s="619">
        <f t="shared" si="3"/>
        <v>0.99636363636363645</v>
      </c>
      <c r="BD13" s="610">
        <f t="shared" si="4"/>
        <v>1</v>
      </c>
      <c r="BF13" s="610">
        <f t="shared" si="5"/>
        <v>2.2535211267605634E-4</v>
      </c>
      <c r="BG13" s="610">
        <f t="shared" si="6"/>
        <v>2.9032258064516127E-3</v>
      </c>
      <c r="BH13" s="610">
        <f t="shared" si="7"/>
        <v>0.12916666666666668</v>
      </c>
      <c r="BI13" s="610">
        <f t="shared" si="8"/>
        <v>3.0434782608695656E-3</v>
      </c>
      <c r="BJ13" s="610">
        <f t="shared" si="9"/>
        <v>0.12222222222222223</v>
      </c>
      <c r="BK13" s="610">
        <f t="shared" si="10"/>
        <v>8.461538461538462E-4</v>
      </c>
      <c r="BL13" s="610">
        <f t="shared" si="11"/>
        <v>6.1728395061728394E-4</v>
      </c>
      <c r="BM13" s="610">
        <f t="shared" si="12"/>
        <v>1.8499999999999999E-3</v>
      </c>
      <c r="BN13" s="563">
        <f t="shared" si="13"/>
        <v>132.29524458579434</v>
      </c>
      <c r="BO13" s="563">
        <f t="shared" si="14"/>
        <v>128.57913827986292</v>
      </c>
      <c r="BP13" s="611">
        <f t="shared" si="15"/>
        <v>1.0289013159960911</v>
      </c>
      <c r="BR13" s="564">
        <f t="shared" si="16"/>
        <v>8.5250000000000004</v>
      </c>
      <c r="BS13" s="564">
        <f t="shared" si="17"/>
        <v>0.23219999999999999</v>
      </c>
      <c r="BT13" s="564">
        <f t="shared" si="18"/>
        <v>0.17500000000000002</v>
      </c>
      <c r="BU13" s="564">
        <f t="shared" si="19"/>
        <v>8.8000000000000007</v>
      </c>
      <c r="BV13" s="564">
        <f t="shared" si="20"/>
        <v>2</v>
      </c>
      <c r="BW13" s="564">
        <f t="shared" si="21"/>
        <v>0.25272500000000003</v>
      </c>
      <c r="BX13" s="564">
        <f t="shared" si="0"/>
        <v>0.11899999999999999</v>
      </c>
      <c r="BY13" s="564">
        <f t="shared" si="22"/>
        <v>0.10487999999999999</v>
      </c>
      <c r="BZ13" s="564"/>
      <c r="CA13" s="564">
        <f t="shared" si="24"/>
        <v>20.208805000000005</v>
      </c>
      <c r="CB13" s="611">
        <f t="shared" si="25"/>
        <v>0.87106918103448305</v>
      </c>
      <c r="CC13" s="610"/>
      <c r="CD13" s="610">
        <f t="shared" si="26"/>
        <v>0.73333333333333328</v>
      </c>
      <c r="CE13" s="610">
        <f t="shared" si="27"/>
        <v>0.83636363636363631</v>
      </c>
      <c r="CF13" s="610">
        <f t="shared" ref="CF13:CF20" si="34">IF(AW13-AV13&gt;0,AW13-AV13,0)</f>
        <v>0.5</v>
      </c>
      <c r="CG13" s="610">
        <f t="shared" ref="CG13:CG20" si="35">IF(AW13-AV13&gt;0,AX13+AY13,AW13+AX13+AY13-AV13)</f>
        <v>1.5</v>
      </c>
    </row>
    <row r="14" spans="2:85" ht="20.149999999999999" customHeight="1" x14ac:dyDescent="0.2">
      <c r="B14" s="31" t="s">
        <v>202</v>
      </c>
      <c r="C14" s="32" t="s">
        <v>205</v>
      </c>
      <c r="D14" s="33">
        <v>19.100000000000001</v>
      </c>
      <c r="E14" s="623">
        <f t="shared" si="28"/>
        <v>8.0000000000000002E-3</v>
      </c>
      <c r="F14" s="624">
        <f>0.5*0.051</f>
        <v>2.5499999999999998E-2</v>
      </c>
      <c r="G14" s="35">
        <v>5.2</v>
      </c>
      <c r="H14" s="36">
        <v>9.5000000000000001E-2</v>
      </c>
      <c r="I14" s="35">
        <v>1.7</v>
      </c>
      <c r="J14" s="35">
        <v>3.4000000000000002E-2</v>
      </c>
      <c r="K14" s="35">
        <v>1.6E-2</v>
      </c>
      <c r="L14" s="32">
        <v>0.1</v>
      </c>
      <c r="M14" s="34">
        <v>87</v>
      </c>
      <c r="N14" s="624">
        <f>0.5*55</f>
        <v>27.5</v>
      </c>
      <c r="O14" s="35" t="s">
        <v>232</v>
      </c>
      <c r="P14" s="35">
        <v>61</v>
      </c>
      <c r="Q14" s="624">
        <f t="shared" si="29"/>
        <v>85</v>
      </c>
      <c r="R14" s="624">
        <f>0.5*0.012</f>
        <v>6.0000000000000001E-3</v>
      </c>
      <c r="S14" s="35" t="s">
        <v>290</v>
      </c>
      <c r="T14" s="35">
        <v>3.5</v>
      </c>
      <c r="U14" s="624">
        <f>0.5*1.1</f>
        <v>0.55000000000000004</v>
      </c>
      <c r="V14" s="35">
        <v>3</v>
      </c>
      <c r="W14" s="35">
        <v>45</v>
      </c>
      <c r="X14" s="624">
        <f t="shared" si="30"/>
        <v>0.115</v>
      </c>
      <c r="Y14" s="35">
        <v>1.1000000000000001</v>
      </c>
      <c r="Z14" s="35">
        <v>1.6</v>
      </c>
      <c r="AA14" s="35">
        <v>17</v>
      </c>
      <c r="AB14" s="35">
        <v>0.74</v>
      </c>
      <c r="AC14" s="35">
        <v>0.78</v>
      </c>
      <c r="AD14" s="35">
        <v>0.15</v>
      </c>
      <c r="AE14" s="35">
        <v>0.47</v>
      </c>
      <c r="AF14" s="35" t="s">
        <v>290</v>
      </c>
      <c r="AG14" s="624">
        <f>0.5*0.035</f>
        <v>1.7500000000000002E-2</v>
      </c>
      <c r="AH14" s="35">
        <v>3.5</v>
      </c>
      <c r="AI14" s="35">
        <v>4.2000000000000003E-2</v>
      </c>
      <c r="AJ14" s="35">
        <v>5.2999999999999999E-2</v>
      </c>
      <c r="AK14" s="35">
        <v>3.7000000000000002E-3</v>
      </c>
      <c r="AL14" s="628">
        <f t="shared" si="31"/>
        <v>1.15E-2</v>
      </c>
      <c r="AM14" s="33">
        <v>0.19</v>
      </c>
      <c r="AN14" s="628">
        <f t="shared" si="32"/>
        <v>1.2500000000000001E-2</v>
      </c>
      <c r="AO14" s="628">
        <f t="shared" si="33"/>
        <v>0.01</v>
      </c>
      <c r="AP14" s="35">
        <v>3</v>
      </c>
      <c r="AQ14" s="32"/>
      <c r="AR14" s="34">
        <v>0.23</v>
      </c>
      <c r="AS14" s="36">
        <v>1.3</v>
      </c>
      <c r="AT14" s="36">
        <v>1.1000000000000001</v>
      </c>
      <c r="AU14" s="36">
        <v>0.64</v>
      </c>
      <c r="AV14" s="36">
        <v>1.3</v>
      </c>
      <c r="AW14" s="35">
        <v>2</v>
      </c>
      <c r="AX14" s="33">
        <v>0.9</v>
      </c>
      <c r="AY14" s="33">
        <v>0.1</v>
      </c>
      <c r="AZ14" s="33">
        <v>4.5999999999999996</v>
      </c>
      <c r="BA14" s="33">
        <v>1.7</v>
      </c>
      <c r="BB14" s="32">
        <v>2.7</v>
      </c>
      <c r="BC14" s="619">
        <f t="shared" si="3"/>
        <v>0.99347826086956537</v>
      </c>
      <c r="BD14" s="610">
        <f t="shared" si="4"/>
        <v>1</v>
      </c>
      <c r="BF14" s="610">
        <f t="shared" si="5"/>
        <v>2.2535211267605634E-4</v>
      </c>
      <c r="BG14" s="610">
        <f t="shared" si="6"/>
        <v>4.1129032258064511E-4</v>
      </c>
      <c r="BH14" s="610">
        <f t="shared" si="7"/>
        <v>0.10833333333333334</v>
      </c>
      <c r="BI14" s="610">
        <f t="shared" si="8"/>
        <v>4.1304347826086954E-3</v>
      </c>
      <c r="BJ14" s="610">
        <f t="shared" si="9"/>
        <v>9.4444444444444442E-2</v>
      </c>
      <c r="BK14" s="610">
        <f t="shared" si="10"/>
        <v>8.7179487179487182E-4</v>
      </c>
      <c r="BL14" s="610">
        <f t="shared" si="11"/>
        <v>1.316872427983539E-3</v>
      </c>
      <c r="BM14" s="610">
        <f t="shared" si="12"/>
        <v>5.0000000000000001E-3</v>
      </c>
      <c r="BN14" s="563">
        <f t="shared" si="13"/>
        <v>108.96997576859003</v>
      </c>
      <c r="BO14" s="563">
        <f t="shared" si="14"/>
        <v>105.76354652683153</v>
      </c>
      <c r="BP14" s="611">
        <f t="shared" si="15"/>
        <v>1.0303169603048916</v>
      </c>
      <c r="BR14" s="564">
        <f t="shared" si="16"/>
        <v>7.15</v>
      </c>
      <c r="BS14" s="564">
        <f t="shared" si="17"/>
        <v>3.2895000000000001E-2</v>
      </c>
      <c r="BT14" s="564">
        <f t="shared" si="18"/>
        <v>0.23749999999999999</v>
      </c>
      <c r="BU14" s="564">
        <f t="shared" si="19"/>
        <v>7.3599999999999994</v>
      </c>
      <c r="BV14" s="564">
        <f t="shared" si="20"/>
        <v>1.7</v>
      </c>
      <c r="BW14" s="564">
        <f t="shared" si="21"/>
        <v>0.25272500000000003</v>
      </c>
      <c r="BX14" s="564">
        <f t="shared" si="0"/>
        <v>0.11899999999999999</v>
      </c>
      <c r="BY14" s="564">
        <f t="shared" si="22"/>
        <v>6.2099999999999995E-2</v>
      </c>
      <c r="BZ14" s="564"/>
      <c r="CA14" s="564">
        <f t="shared" si="24"/>
        <v>16.91422</v>
      </c>
      <c r="CB14" s="611">
        <f t="shared" si="25"/>
        <v>0.88556125654450257</v>
      </c>
      <c r="CC14" s="610"/>
      <c r="CD14" s="610">
        <f t="shared" si="26"/>
        <v>0.73015873015873012</v>
      </c>
      <c r="CE14" s="610">
        <f t="shared" si="27"/>
        <v>0.58695652173913049</v>
      </c>
      <c r="CF14" s="610">
        <f t="shared" si="34"/>
        <v>0.7</v>
      </c>
      <c r="CG14" s="610">
        <f t="shared" si="35"/>
        <v>1</v>
      </c>
    </row>
    <row r="15" spans="2:85" ht="20.149999999999999" customHeight="1" x14ac:dyDescent="0.2">
      <c r="B15" s="31" t="s">
        <v>202</v>
      </c>
      <c r="C15" s="32" t="s">
        <v>206</v>
      </c>
      <c r="D15" s="33">
        <v>22.3</v>
      </c>
      <c r="E15" s="623">
        <f t="shared" si="28"/>
        <v>8.0000000000000002E-3</v>
      </c>
      <c r="F15" s="35">
        <v>6.8000000000000005E-2</v>
      </c>
      <c r="G15" s="35">
        <v>7.1</v>
      </c>
      <c r="H15" s="36">
        <v>6.2E-2</v>
      </c>
      <c r="I15" s="35">
        <v>2.5</v>
      </c>
      <c r="J15" s="35">
        <v>6.4000000000000001E-2</v>
      </c>
      <c r="K15" s="624">
        <f>0.5*0.015</f>
        <v>7.4999999999999997E-3</v>
      </c>
      <c r="L15" s="32">
        <v>4.4999999999999998E-2</v>
      </c>
      <c r="M15" s="34">
        <v>80</v>
      </c>
      <c r="N15" s="624">
        <f>0.5*55</f>
        <v>27.5</v>
      </c>
      <c r="O15" s="35" t="s">
        <v>232</v>
      </c>
      <c r="P15" s="35">
        <v>88</v>
      </c>
      <c r="Q15" s="624">
        <f t="shared" si="29"/>
        <v>85</v>
      </c>
      <c r="R15" s="35">
        <v>2.5999999999999999E-2</v>
      </c>
      <c r="S15" s="35" t="s">
        <v>290</v>
      </c>
      <c r="T15" s="35">
        <v>3.2</v>
      </c>
      <c r="U15" s="624">
        <f>0.5*1.1</f>
        <v>0.55000000000000004</v>
      </c>
      <c r="V15" s="35">
        <v>6.4</v>
      </c>
      <c r="W15" s="35">
        <v>82</v>
      </c>
      <c r="X15" s="624">
        <f t="shared" si="30"/>
        <v>0.115</v>
      </c>
      <c r="Y15" s="35">
        <v>0.88</v>
      </c>
      <c r="Z15" s="35">
        <v>2.4</v>
      </c>
      <c r="AA15" s="35">
        <v>26</v>
      </c>
      <c r="AB15" s="35">
        <v>0.79</v>
      </c>
      <c r="AC15" s="35">
        <v>0.88</v>
      </c>
      <c r="AD15" s="35">
        <v>0.21</v>
      </c>
      <c r="AE15" s="35">
        <v>0.5</v>
      </c>
      <c r="AF15" s="35" t="s">
        <v>290</v>
      </c>
      <c r="AG15" s="624">
        <f>0.5*0.035</f>
        <v>1.7500000000000002E-2</v>
      </c>
      <c r="AH15" s="35">
        <v>5.0999999999999996</v>
      </c>
      <c r="AI15" s="35">
        <v>0.09</v>
      </c>
      <c r="AJ15" s="35">
        <v>8.5000000000000006E-2</v>
      </c>
      <c r="AK15" s="35">
        <v>3.3999999999999998E-3</v>
      </c>
      <c r="AL15" s="628">
        <f t="shared" si="31"/>
        <v>1.15E-2</v>
      </c>
      <c r="AM15" s="33">
        <v>0.1</v>
      </c>
      <c r="AN15" s="628">
        <f t="shared" si="32"/>
        <v>1.2500000000000001E-2</v>
      </c>
      <c r="AO15" s="628">
        <f t="shared" si="33"/>
        <v>0.01</v>
      </c>
      <c r="AP15" s="35">
        <v>4.4000000000000004</v>
      </c>
      <c r="AQ15" s="32"/>
      <c r="AR15" s="34">
        <v>0.26</v>
      </c>
      <c r="AS15" s="36">
        <v>1.4</v>
      </c>
      <c r="AT15" s="36">
        <v>1.1000000000000001</v>
      </c>
      <c r="AU15" s="36">
        <v>0.65</v>
      </c>
      <c r="AV15" s="36">
        <v>1.3</v>
      </c>
      <c r="AW15" s="35">
        <v>2</v>
      </c>
      <c r="AX15" s="33">
        <v>1.2</v>
      </c>
      <c r="AY15" s="33">
        <v>0.12</v>
      </c>
      <c r="AZ15" s="33">
        <v>4.7</v>
      </c>
      <c r="BA15" s="33">
        <v>2</v>
      </c>
      <c r="BB15" s="32">
        <v>3.2</v>
      </c>
      <c r="BC15" s="619">
        <f t="shared" si="3"/>
        <v>1.0021276595744681</v>
      </c>
      <c r="BD15" s="610">
        <f t="shared" si="4"/>
        <v>1.0100000000000002</v>
      </c>
      <c r="BF15" s="610">
        <f t="shared" si="5"/>
        <v>2.2535211267605634E-4</v>
      </c>
      <c r="BG15" s="610">
        <f t="shared" si="6"/>
        <v>1.0967741935483872E-3</v>
      </c>
      <c r="BH15" s="610">
        <f t="shared" si="7"/>
        <v>0.14791666666666667</v>
      </c>
      <c r="BI15" s="610">
        <f t="shared" si="8"/>
        <v>2.6956521739130435E-3</v>
      </c>
      <c r="BJ15" s="610">
        <f t="shared" si="9"/>
        <v>0.1388888888888889</v>
      </c>
      <c r="BK15" s="610">
        <f t="shared" si="10"/>
        <v>1.6410256410256412E-3</v>
      </c>
      <c r="BL15" s="610">
        <f t="shared" si="11"/>
        <v>6.1728395061728394E-4</v>
      </c>
      <c r="BM15" s="610">
        <f t="shared" si="12"/>
        <v>2.2499999999999998E-3</v>
      </c>
      <c r="BN15" s="563">
        <f t="shared" si="13"/>
        <v>149.2387929728911</v>
      </c>
      <c r="BO15" s="563">
        <f t="shared" si="14"/>
        <v>146.09285065444485</v>
      </c>
      <c r="BP15" s="611">
        <f t="shared" si="15"/>
        <v>1.0215338553827482</v>
      </c>
      <c r="BR15" s="564">
        <f t="shared" si="16"/>
        <v>9.7624999999999993</v>
      </c>
      <c r="BS15" s="564">
        <f t="shared" si="17"/>
        <v>8.7720000000000006E-2</v>
      </c>
      <c r="BT15" s="564">
        <f t="shared" si="18"/>
        <v>0.155</v>
      </c>
      <c r="BU15" s="564">
        <f t="shared" si="19"/>
        <v>7.5200000000000005</v>
      </c>
      <c r="BV15" s="564">
        <f t="shared" si="20"/>
        <v>2</v>
      </c>
      <c r="BW15" s="564">
        <f t="shared" si="21"/>
        <v>0.25272500000000003</v>
      </c>
      <c r="BX15" s="564">
        <f t="shared" si="0"/>
        <v>0.11899999999999999</v>
      </c>
      <c r="BY15" s="564">
        <f t="shared" si="22"/>
        <v>0.11316</v>
      </c>
      <c r="BZ15" s="564"/>
      <c r="CA15" s="564">
        <f t="shared" si="24"/>
        <v>20.010104999999999</v>
      </c>
      <c r="CB15" s="611">
        <f t="shared" si="25"/>
        <v>0.89731412556053802</v>
      </c>
      <c r="CC15" s="610"/>
      <c r="CD15" s="610">
        <f t="shared" si="26"/>
        <v>0.70149253731343286</v>
      </c>
      <c r="CE15" s="610">
        <f t="shared" si="27"/>
        <v>0.68085106382978722</v>
      </c>
      <c r="CF15" s="610">
        <f t="shared" si="34"/>
        <v>0.7</v>
      </c>
      <c r="CG15" s="610">
        <f t="shared" si="35"/>
        <v>1.3199999999999998</v>
      </c>
    </row>
    <row r="16" spans="2:85" ht="20.149999999999999" customHeight="1" x14ac:dyDescent="0.2">
      <c r="B16" s="31" t="s">
        <v>202</v>
      </c>
      <c r="C16" s="32" t="s">
        <v>207</v>
      </c>
      <c r="D16" s="33">
        <v>30.5</v>
      </c>
      <c r="E16" s="623">
        <f t="shared" si="28"/>
        <v>8.0000000000000002E-3</v>
      </c>
      <c r="F16" s="35">
        <v>0.16</v>
      </c>
      <c r="G16" s="35">
        <v>11</v>
      </c>
      <c r="H16" s="36">
        <v>8.8999999999999996E-2</v>
      </c>
      <c r="I16" s="35">
        <v>3.7</v>
      </c>
      <c r="J16" s="35">
        <v>0.11</v>
      </c>
      <c r="K16" s="35">
        <v>1.7000000000000001E-2</v>
      </c>
      <c r="L16" s="32">
        <v>6.0999999999999999E-2</v>
      </c>
      <c r="M16" s="34">
        <v>120</v>
      </c>
      <c r="N16" s="35">
        <v>76</v>
      </c>
      <c r="O16" s="35" t="s">
        <v>232</v>
      </c>
      <c r="P16" s="35">
        <v>150</v>
      </c>
      <c r="Q16" s="624">
        <f t="shared" si="29"/>
        <v>85</v>
      </c>
      <c r="R16" s="35">
        <v>2.4E-2</v>
      </c>
      <c r="S16" s="35" t="s">
        <v>290</v>
      </c>
      <c r="T16" s="35">
        <v>11</v>
      </c>
      <c r="U16" s="35">
        <v>1.9</v>
      </c>
      <c r="V16" s="35">
        <v>8.4</v>
      </c>
      <c r="W16" s="35">
        <v>140</v>
      </c>
      <c r="X16" s="624">
        <f t="shared" si="30"/>
        <v>0.115</v>
      </c>
      <c r="Y16" s="35">
        <v>3.3</v>
      </c>
      <c r="Z16" s="35">
        <v>4.8</v>
      </c>
      <c r="AA16" s="35">
        <v>43</v>
      </c>
      <c r="AB16" s="35">
        <v>1.7</v>
      </c>
      <c r="AC16" s="35">
        <v>1.7</v>
      </c>
      <c r="AD16" s="35">
        <v>0.38</v>
      </c>
      <c r="AE16" s="35">
        <v>1.1000000000000001</v>
      </c>
      <c r="AF16" s="35" t="s">
        <v>290</v>
      </c>
      <c r="AG16" s="35">
        <v>5.8000000000000003E-2</v>
      </c>
      <c r="AH16" s="35">
        <v>8.6999999999999993</v>
      </c>
      <c r="AI16" s="35">
        <v>0.17</v>
      </c>
      <c r="AJ16" s="35">
        <v>0.19</v>
      </c>
      <c r="AK16" s="35">
        <v>5.3E-3</v>
      </c>
      <c r="AL16" s="628">
        <f t="shared" si="31"/>
        <v>1.15E-2</v>
      </c>
      <c r="AM16" s="33">
        <v>0.23</v>
      </c>
      <c r="AN16" s="628">
        <f t="shared" si="32"/>
        <v>1.2500000000000001E-2</v>
      </c>
      <c r="AO16" s="628">
        <f t="shared" si="33"/>
        <v>0.01</v>
      </c>
      <c r="AP16" s="35">
        <v>9.1</v>
      </c>
      <c r="AQ16" s="32"/>
      <c r="AR16" s="34">
        <v>0.41</v>
      </c>
      <c r="AS16" s="36">
        <v>1.9</v>
      </c>
      <c r="AT16" s="36">
        <v>0.9</v>
      </c>
      <c r="AU16" s="36">
        <v>0.74</v>
      </c>
      <c r="AV16" s="36">
        <v>1.7</v>
      </c>
      <c r="AW16" s="35">
        <v>2.9</v>
      </c>
      <c r="AX16" s="33">
        <v>1.1000000000000001</v>
      </c>
      <c r="AY16" s="33">
        <v>0.11</v>
      </c>
      <c r="AZ16" s="33">
        <v>5.7</v>
      </c>
      <c r="BA16" s="33">
        <v>2.4</v>
      </c>
      <c r="BB16" s="32">
        <v>3.8</v>
      </c>
      <c r="BC16" s="619">
        <f t="shared" si="3"/>
        <v>0.99122807017543868</v>
      </c>
      <c r="BD16" s="610">
        <f t="shared" si="4"/>
        <v>1.0041666666666669</v>
      </c>
      <c r="BF16" s="610">
        <f t="shared" si="5"/>
        <v>2.2535211267605634E-4</v>
      </c>
      <c r="BG16" s="610">
        <f t="shared" si="6"/>
        <v>2.5806451612903226E-3</v>
      </c>
      <c r="BH16" s="610">
        <f t="shared" si="7"/>
        <v>0.22916666666666666</v>
      </c>
      <c r="BI16" s="610">
        <f t="shared" si="8"/>
        <v>3.8695652173913043E-3</v>
      </c>
      <c r="BJ16" s="610">
        <f t="shared" si="9"/>
        <v>0.20555555555555557</v>
      </c>
      <c r="BK16" s="610">
        <f t="shared" si="10"/>
        <v>2.8205128205128207E-3</v>
      </c>
      <c r="BL16" s="610">
        <f t="shared" si="11"/>
        <v>1.3991769547325103E-3</v>
      </c>
      <c r="BM16" s="610">
        <f t="shared" si="12"/>
        <v>3.0499999999999998E-3</v>
      </c>
      <c r="BN16" s="563">
        <f t="shared" si="13"/>
        <v>231.97266394063303</v>
      </c>
      <c r="BO16" s="563">
        <f t="shared" si="14"/>
        <v>216.69481054819221</v>
      </c>
      <c r="BP16" s="611">
        <f t="shared" si="15"/>
        <v>1.0705040113964477</v>
      </c>
      <c r="BR16" s="564">
        <f t="shared" si="16"/>
        <v>15.125</v>
      </c>
      <c r="BS16" s="564">
        <f t="shared" si="17"/>
        <v>0.2064</v>
      </c>
      <c r="BT16" s="564">
        <f t="shared" si="18"/>
        <v>0.22249999999999998</v>
      </c>
      <c r="BU16" s="564">
        <f t="shared" si="19"/>
        <v>9.120000000000001</v>
      </c>
      <c r="BV16" s="564">
        <f t="shared" si="20"/>
        <v>2.4</v>
      </c>
      <c r="BW16" s="564">
        <f t="shared" si="21"/>
        <v>0.69844000000000006</v>
      </c>
      <c r="BX16" s="564">
        <f t="shared" si="0"/>
        <v>0.11899999999999999</v>
      </c>
      <c r="BY16" s="564">
        <f t="shared" si="22"/>
        <v>0.19320000000000001</v>
      </c>
      <c r="BZ16" s="564"/>
      <c r="CA16" s="564">
        <f t="shared" si="24"/>
        <v>28.084540000000004</v>
      </c>
      <c r="CB16" s="611">
        <f t="shared" si="25"/>
        <v>0.92080459016393457</v>
      </c>
      <c r="CC16" s="610"/>
      <c r="CD16" s="610">
        <f t="shared" si="26"/>
        <v>0.70370370370370372</v>
      </c>
      <c r="CE16" s="610">
        <f t="shared" si="27"/>
        <v>0.66666666666666663</v>
      </c>
      <c r="CF16" s="610">
        <f t="shared" si="34"/>
        <v>1.2</v>
      </c>
      <c r="CG16" s="610">
        <f t="shared" si="35"/>
        <v>1.2100000000000002</v>
      </c>
    </row>
    <row r="17" spans="2:85" ht="20.149999999999999" customHeight="1" x14ac:dyDescent="0.2">
      <c r="B17" s="31" t="s">
        <v>202</v>
      </c>
      <c r="C17" s="32" t="s">
        <v>208</v>
      </c>
      <c r="D17" s="33">
        <v>29.5</v>
      </c>
      <c r="E17" s="623">
        <f t="shared" si="28"/>
        <v>8.0000000000000002E-3</v>
      </c>
      <c r="F17" s="35">
        <v>9.4E-2</v>
      </c>
      <c r="G17" s="35">
        <v>10</v>
      </c>
      <c r="H17" s="36">
        <v>6.3E-2</v>
      </c>
      <c r="I17" s="35">
        <v>3.6</v>
      </c>
      <c r="J17" s="35">
        <v>0.21</v>
      </c>
      <c r="K17" s="35">
        <v>0.02</v>
      </c>
      <c r="L17" s="32">
        <v>4.4999999999999998E-2</v>
      </c>
      <c r="M17" s="34">
        <v>100</v>
      </c>
      <c r="N17" s="35">
        <v>87</v>
      </c>
      <c r="O17" s="35" t="s">
        <v>232</v>
      </c>
      <c r="P17" s="35">
        <v>260</v>
      </c>
      <c r="Q17" s="624">
        <f t="shared" si="29"/>
        <v>85</v>
      </c>
      <c r="R17" s="35">
        <v>3.1E-2</v>
      </c>
      <c r="S17" s="35" t="s">
        <v>290</v>
      </c>
      <c r="T17" s="35">
        <v>7</v>
      </c>
      <c r="U17" s="624">
        <f>0.5*1.1</f>
        <v>0.55000000000000004</v>
      </c>
      <c r="V17" s="35">
        <v>6</v>
      </c>
      <c r="W17" s="35">
        <v>110</v>
      </c>
      <c r="X17" s="624">
        <f t="shared" si="30"/>
        <v>0.115</v>
      </c>
      <c r="Y17" s="35">
        <v>2.4</v>
      </c>
      <c r="Z17" s="35">
        <v>7.3</v>
      </c>
      <c r="AA17" s="35">
        <v>36</v>
      </c>
      <c r="AB17" s="35">
        <v>1.5</v>
      </c>
      <c r="AC17" s="35">
        <v>1.6</v>
      </c>
      <c r="AD17" s="35">
        <v>0.33</v>
      </c>
      <c r="AE17" s="35">
        <v>0.78</v>
      </c>
      <c r="AF17" s="35" t="s">
        <v>290</v>
      </c>
      <c r="AG17" s="35">
        <v>4.1000000000000002E-2</v>
      </c>
      <c r="AH17" s="35">
        <v>15</v>
      </c>
      <c r="AI17" s="35">
        <v>0.2</v>
      </c>
      <c r="AJ17" s="35">
        <v>0.34</v>
      </c>
      <c r="AK17" s="35">
        <v>5.7000000000000002E-3</v>
      </c>
      <c r="AL17" s="628">
        <f t="shared" si="31"/>
        <v>1.15E-2</v>
      </c>
      <c r="AM17" s="33">
        <v>0.17</v>
      </c>
      <c r="AN17" s="628">
        <f t="shared" si="32"/>
        <v>1.2500000000000001E-2</v>
      </c>
      <c r="AO17" s="628">
        <f t="shared" si="33"/>
        <v>0.01</v>
      </c>
      <c r="AP17" s="35">
        <v>8.3000000000000007</v>
      </c>
      <c r="AQ17" s="32"/>
      <c r="AR17" s="34">
        <v>0.76</v>
      </c>
      <c r="AS17" s="36">
        <v>1.7</v>
      </c>
      <c r="AT17" s="36">
        <v>1.2</v>
      </c>
      <c r="AU17" s="36">
        <v>0.99</v>
      </c>
      <c r="AV17" s="36">
        <v>2</v>
      </c>
      <c r="AW17" s="35">
        <v>2.9</v>
      </c>
      <c r="AX17" s="33">
        <v>0.8</v>
      </c>
      <c r="AY17" s="33">
        <v>0.11</v>
      </c>
      <c r="AZ17" s="33">
        <v>6.7</v>
      </c>
      <c r="BA17" s="33">
        <v>1.8</v>
      </c>
      <c r="BB17" s="32">
        <v>4.0999999999999996</v>
      </c>
      <c r="BC17" s="619">
        <f t="shared" si="3"/>
        <v>0.9925373134328358</v>
      </c>
      <c r="BD17" s="610">
        <f t="shared" si="4"/>
        <v>1.0055555555555555</v>
      </c>
      <c r="BF17" s="610">
        <f t="shared" si="5"/>
        <v>2.2535211267605634E-4</v>
      </c>
      <c r="BG17" s="610">
        <f t="shared" si="6"/>
        <v>1.5161290322580644E-3</v>
      </c>
      <c r="BH17" s="610">
        <f t="shared" si="7"/>
        <v>0.20833333333333334</v>
      </c>
      <c r="BI17" s="610">
        <f t="shared" si="8"/>
        <v>2.7391304347826086E-3</v>
      </c>
      <c r="BJ17" s="610">
        <f t="shared" si="9"/>
        <v>0.2</v>
      </c>
      <c r="BK17" s="610">
        <f t="shared" si="10"/>
        <v>5.3846153846153844E-3</v>
      </c>
      <c r="BL17" s="610">
        <f t="shared" si="11"/>
        <v>1.6460905349794238E-3</v>
      </c>
      <c r="BM17" s="610">
        <f t="shared" si="12"/>
        <v>2.2499999999999998E-3</v>
      </c>
      <c r="BN17" s="563">
        <f t="shared" si="13"/>
        <v>210.07481447826746</v>
      </c>
      <c r="BO17" s="563">
        <f t="shared" si="14"/>
        <v>212.01983635437742</v>
      </c>
      <c r="BP17" s="611">
        <f t="shared" si="15"/>
        <v>0.99082622687785216</v>
      </c>
      <c r="BR17" s="564">
        <f t="shared" si="16"/>
        <v>13.75</v>
      </c>
      <c r="BS17" s="564">
        <f t="shared" si="17"/>
        <v>0.12126000000000001</v>
      </c>
      <c r="BT17" s="564">
        <f t="shared" si="18"/>
        <v>0.1575</v>
      </c>
      <c r="BU17" s="564">
        <f t="shared" si="19"/>
        <v>10.72</v>
      </c>
      <c r="BV17" s="564">
        <f t="shared" si="20"/>
        <v>1.8</v>
      </c>
      <c r="BW17" s="564">
        <f t="shared" si="21"/>
        <v>0.79953000000000007</v>
      </c>
      <c r="BX17" s="564">
        <f t="shared" si="0"/>
        <v>0.11899999999999999</v>
      </c>
      <c r="BY17" s="564">
        <f t="shared" si="22"/>
        <v>0.15179999999999999</v>
      </c>
      <c r="BZ17" s="564"/>
      <c r="CA17" s="564">
        <f t="shared" si="24"/>
        <v>27.619090000000003</v>
      </c>
      <c r="CB17" s="611">
        <f t="shared" si="25"/>
        <v>0.93624033898305092</v>
      </c>
      <c r="CC17" s="610"/>
      <c r="CD17" s="610">
        <f t="shared" si="26"/>
        <v>0.78823529411764703</v>
      </c>
      <c r="CE17" s="610">
        <f t="shared" si="27"/>
        <v>0.61194029850746257</v>
      </c>
      <c r="CF17" s="610">
        <f t="shared" si="34"/>
        <v>0.89999999999999991</v>
      </c>
      <c r="CG17" s="610">
        <f t="shared" si="35"/>
        <v>0.91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19</v>
      </c>
      <c r="E18" s="631">
        <f t="shared" si="28"/>
        <v>8.0000000000000002E-3</v>
      </c>
      <c r="F18" s="626">
        <f>0.5*0.051</f>
        <v>2.5499999999999998E-2</v>
      </c>
      <c r="G18" s="43">
        <v>4.4000000000000004</v>
      </c>
      <c r="H18" s="44">
        <v>1.7000000000000001E-2</v>
      </c>
      <c r="I18" s="43">
        <v>1.5</v>
      </c>
      <c r="J18" s="43">
        <v>8.2000000000000003E-2</v>
      </c>
      <c r="K18" s="626">
        <f>0.5*0.015</f>
        <v>7.4999999999999997E-3</v>
      </c>
      <c r="L18" s="45">
        <v>2.8000000000000001E-2</v>
      </c>
      <c r="M18" s="42">
        <v>37</v>
      </c>
      <c r="N18" s="626">
        <f>0.5*55</f>
        <v>27.5</v>
      </c>
      <c r="O18" s="43" t="s">
        <v>232</v>
      </c>
      <c r="P18" s="43">
        <v>160</v>
      </c>
      <c r="Q18" s="626">
        <f t="shared" si="29"/>
        <v>85</v>
      </c>
      <c r="R18" s="626">
        <f>0.5*0.012</f>
        <v>6.0000000000000001E-3</v>
      </c>
      <c r="S18" s="43" t="s">
        <v>290</v>
      </c>
      <c r="T18" s="43">
        <v>3.9</v>
      </c>
      <c r="U18" s="626">
        <f>0.5*1.1</f>
        <v>0.55000000000000004</v>
      </c>
      <c r="V18" s="43">
        <v>14</v>
      </c>
      <c r="W18" s="43">
        <v>75</v>
      </c>
      <c r="X18" s="626">
        <f t="shared" si="30"/>
        <v>0.115</v>
      </c>
      <c r="Y18" s="43">
        <v>0.89</v>
      </c>
      <c r="Z18" s="43">
        <v>4.0999999999999996</v>
      </c>
      <c r="AA18" s="43">
        <v>150</v>
      </c>
      <c r="AB18" s="43">
        <v>0.95</v>
      </c>
      <c r="AC18" s="43">
        <v>0.89</v>
      </c>
      <c r="AD18" s="43">
        <v>0.2</v>
      </c>
      <c r="AE18" s="43">
        <v>0.5</v>
      </c>
      <c r="AF18" s="43" t="s">
        <v>290</v>
      </c>
      <c r="AG18" s="626">
        <f>0.5*0.035</f>
        <v>1.7500000000000002E-2</v>
      </c>
      <c r="AH18" s="43">
        <v>8.1</v>
      </c>
      <c r="AI18" s="43">
        <v>7.0999999999999994E-2</v>
      </c>
      <c r="AJ18" s="43">
        <v>0.12</v>
      </c>
      <c r="AK18" s="43">
        <v>3.0000000000000001E-3</v>
      </c>
      <c r="AL18" s="629">
        <f t="shared" si="31"/>
        <v>1.15E-2</v>
      </c>
      <c r="AM18" s="41">
        <v>8.5999999999999993E-2</v>
      </c>
      <c r="AN18" s="629">
        <f t="shared" si="32"/>
        <v>1.2500000000000001E-2</v>
      </c>
      <c r="AO18" s="629">
        <f t="shared" si="33"/>
        <v>0.01</v>
      </c>
      <c r="AP18" s="43">
        <v>4.3</v>
      </c>
      <c r="AQ18" s="45"/>
      <c r="AR18" s="42">
        <v>0.27</v>
      </c>
      <c r="AS18" s="44">
        <v>1.3</v>
      </c>
      <c r="AT18" s="44">
        <v>0.88</v>
      </c>
      <c r="AU18" s="44">
        <v>0.62</v>
      </c>
      <c r="AV18" s="44">
        <v>1.3</v>
      </c>
      <c r="AW18" s="43">
        <v>1.6</v>
      </c>
      <c r="AX18" s="41">
        <v>1</v>
      </c>
      <c r="AY18" s="41">
        <v>0.11</v>
      </c>
      <c r="AZ18" s="41">
        <v>4.4000000000000004</v>
      </c>
      <c r="BA18" s="41">
        <v>1.4</v>
      </c>
      <c r="BB18" s="45">
        <v>2.2999999999999998</v>
      </c>
      <c r="BC18" s="620">
        <f t="shared" si="3"/>
        <v>0.99318181818181817</v>
      </c>
      <c r="BD18" s="617">
        <f t="shared" si="4"/>
        <v>1.0071428571428571</v>
      </c>
      <c r="BE18" s="616"/>
      <c r="BF18" s="617">
        <f t="shared" si="5"/>
        <v>2.2535211267605634E-4</v>
      </c>
      <c r="BG18" s="617">
        <f t="shared" si="6"/>
        <v>4.1129032258064511E-4</v>
      </c>
      <c r="BH18" s="617">
        <f t="shared" si="7"/>
        <v>9.1666666666666674E-2</v>
      </c>
      <c r="BI18" s="617">
        <f t="shared" si="8"/>
        <v>7.3913043478260874E-4</v>
      </c>
      <c r="BJ18" s="617">
        <f t="shared" si="9"/>
        <v>8.3333333333333329E-2</v>
      </c>
      <c r="BK18" s="617">
        <f t="shared" si="10"/>
        <v>2.1025641025641025E-3</v>
      </c>
      <c r="BL18" s="617">
        <f t="shared" si="11"/>
        <v>6.1728395061728394E-4</v>
      </c>
      <c r="BM18" s="617">
        <f t="shared" si="12"/>
        <v>1.4E-3</v>
      </c>
      <c r="BN18" s="621">
        <f t="shared" si="13"/>
        <v>92.303309101923375</v>
      </c>
      <c r="BO18" s="621">
        <f t="shared" si="14"/>
        <v>88.192311821297324</v>
      </c>
      <c r="BP18" s="618">
        <f t="shared" si="15"/>
        <v>1.0466140097218009</v>
      </c>
      <c r="BQ18" s="616"/>
      <c r="BR18" s="615">
        <f t="shared" si="16"/>
        <v>6.0500000000000007</v>
      </c>
      <c r="BS18" s="615">
        <f t="shared" si="17"/>
        <v>3.2895000000000001E-2</v>
      </c>
      <c r="BT18" s="615">
        <f t="shared" si="18"/>
        <v>4.2500000000000003E-2</v>
      </c>
      <c r="BU18" s="615">
        <f t="shared" si="19"/>
        <v>7.0400000000000009</v>
      </c>
      <c r="BV18" s="615">
        <f t="shared" si="20"/>
        <v>1.4</v>
      </c>
      <c r="BW18" s="615">
        <f t="shared" si="21"/>
        <v>0.25272500000000003</v>
      </c>
      <c r="BX18" s="615">
        <f t="shared" si="0"/>
        <v>0.11899999999999999</v>
      </c>
      <c r="BY18" s="615">
        <f t="shared" si="22"/>
        <v>0.10349999999999999</v>
      </c>
      <c r="BZ18" s="615"/>
      <c r="CA18" s="615">
        <f t="shared" si="24"/>
        <v>15.040620000000002</v>
      </c>
      <c r="CB18" s="618">
        <f t="shared" si="25"/>
        <v>0.79161157894736855</v>
      </c>
      <c r="CC18" s="617"/>
      <c r="CD18" s="617">
        <f t="shared" si="26"/>
        <v>0.75862068965517238</v>
      </c>
      <c r="CE18" s="617">
        <f t="shared" si="27"/>
        <v>0.5227272727272726</v>
      </c>
      <c r="CF18" s="617">
        <f t="shared" si="34"/>
        <v>0.30000000000000004</v>
      </c>
      <c r="CG18" s="617">
        <f t="shared" si="35"/>
        <v>1.1100000000000001</v>
      </c>
    </row>
    <row r="19" spans="2:85" ht="20.149999999999999" customHeight="1" x14ac:dyDescent="0.2">
      <c r="B19" s="31" t="s">
        <v>61</v>
      </c>
      <c r="C19" s="46" t="s">
        <v>92</v>
      </c>
      <c r="D19" s="47">
        <v>20.399999999999999</v>
      </c>
      <c r="E19" s="48" t="s">
        <v>285</v>
      </c>
      <c r="F19" s="49">
        <v>7.9000000000000001E-2</v>
      </c>
      <c r="G19" s="49">
        <v>8.1999999999999993</v>
      </c>
      <c r="H19" s="50">
        <v>3.7999999999999999E-2</v>
      </c>
      <c r="I19" s="49">
        <v>2.9</v>
      </c>
      <c r="J19" s="49">
        <v>8.2000000000000003E-2</v>
      </c>
      <c r="K19" s="49" t="s">
        <v>287</v>
      </c>
      <c r="L19" s="37">
        <v>2.9000000000000001E-2</v>
      </c>
      <c r="M19" s="48">
        <v>82</v>
      </c>
      <c r="N19" s="49" t="s">
        <v>296</v>
      </c>
      <c r="O19" s="49" t="s">
        <v>232</v>
      </c>
      <c r="P19" s="49">
        <v>120</v>
      </c>
      <c r="Q19" s="49" t="s">
        <v>289</v>
      </c>
      <c r="R19" s="49" t="s">
        <v>298</v>
      </c>
      <c r="S19" s="49" t="s">
        <v>290</v>
      </c>
      <c r="T19" s="49">
        <v>5.3</v>
      </c>
      <c r="U19" s="49" t="s">
        <v>291</v>
      </c>
      <c r="V19" s="49">
        <v>6.4</v>
      </c>
      <c r="W19" s="49">
        <v>74</v>
      </c>
      <c r="X19" s="49" t="s">
        <v>242</v>
      </c>
      <c r="Y19" s="49">
        <v>2</v>
      </c>
      <c r="Z19" s="49">
        <v>3.5</v>
      </c>
      <c r="AA19" s="49">
        <v>43</v>
      </c>
      <c r="AB19" s="49">
        <v>1.3</v>
      </c>
      <c r="AC19" s="49">
        <v>1.2</v>
      </c>
      <c r="AD19" s="49">
        <v>0.28000000000000003</v>
      </c>
      <c r="AE19" s="49">
        <v>0.94</v>
      </c>
      <c r="AF19" s="49" t="s">
        <v>290</v>
      </c>
      <c r="AG19" s="49" t="s">
        <v>74</v>
      </c>
      <c r="AH19" s="49">
        <v>3.1</v>
      </c>
      <c r="AI19" s="49">
        <v>6.2E-2</v>
      </c>
      <c r="AJ19" s="49">
        <v>0.1</v>
      </c>
      <c r="AK19" s="49">
        <v>5.7999999999999996E-3</v>
      </c>
      <c r="AL19" s="47" t="s">
        <v>292</v>
      </c>
      <c r="AM19" s="47">
        <v>0.13</v>
      </c>
      <c r="AN19" s="47" t="s">
        <v>293</v>
      </c>
      <c r="AO19" s="47" t="s">
        <v>259</v>
      </c>
      <c r="AP19" s="49">
        <v>7</v>
      </c>
      <c r="AQ19" s="37"/>
      <c r="AR19" s="48">
        <v>0.27</v>
      </c>
      <c r="AS19" s="50">
        <v>1.4</v>
      </c>
      <c r="AT19" s="50">
        <v>0.67</v>
      </c>
      <c r="AU19" s="50">
        <v>0.54</v>
      </c>
      <c r="AV19" s="50">
        <v>1.5</v>
      </c>
      <c r="AW19" s="49">
        <v>2.2000000000000002</v>
      </c>
      <c r="AX19" s="47">
        <v>0.96</v>
      </c>
      <c r="AY19" s="47">
        <v>0.11</v>
      </c>
      <c r="AZ19" s="47">
        <v>4.4000000000000004</v>
      </c>
      <c r="BA19" s="47">
        <v>1.8</v>
      </c>
      <c r="BB19" s="37">
        <v>2.5</v>
      </c>
      <c r="BC19" s="619">
        <f t="shared" si="3"/>
        <v>0.99545454545454537</v>
      </c>
      <c r="BD19" s="610">
        <f t="shared" si="4"/>
        <v>0.98333333333333328</v>
      </c>
      <c r="BF19" s="610" t="e">
        <f t="shared" si="5"/>
        <v>#VALUE!</v>
      </c>
      <c r="BG19" s="610">
        <f t="shared" si="6"/>
        <v>1.2741935483870969E-3</v>
      </c>
      <c r="BH19" s="610">
        <f t="shared" si="7"/>
        <v>0.17083333333333331</v>
      </c>
      <c r="BI19" s="610">
        <f t="shared" si="8"/>
        <v>1.6521739130434781E-3</v>
      </c>
      <c r="BJ19" s="610">
        <f t="shared" si="9"/>
        <v>0.16111111111111109</v>
      </c>
      <c r="BK19" s="610">
        <f t="shared" si="10"/>
        <v>2.1025641025641025E-3</v>
      </c>
      <c r="BL19" s="610" t="e">
        <f t="shared" si="11"/>
        <v>#VALUE!</v>
      </c>
      <c r="BM19" s="610">
        <f t="shared" si="12"/>
        <v>1.4500000000000001E-3</v>
      </c>
      <c r="BN19" s="563" t="e">
        <f t="shared" si="13"/>
        <v>#VALUE!</v>
      </c>
      <c r="BO19" s="563" t="e">
        <f t="shared" si="14"/>
        <v>#VALUE!</v>
      </c>
      <c r="BP19" s="611" t="e">
        <f t="shared" si="15"/>
        <v>#VALUE!</v>
      </c>
      <c r="BR19" s="564">
        <f t="shared" si="16"/>
        <v>11.274999999999999</v>
      </c>
      <c r="BS19" s="564">
        <f t="shared" si="17"/>
        <v>0.10191</v>
      </c>
      <c r="BT19" s="564">
        <f t="shared" si="18"/>
        <v>9.5000000000000001E-2</v>
      </c>
      <c r="BU19" s="564">
        <f t="shared" si="19"/>
        <v>7.0400000000000009</v>
      </c>
      <c r="BV19" s="564">
        <f t="shared" si="20"/>
        <v>1.8</v>
      </c>
      <c r="BW19" s="564" t="e">
        <f t="shared" si="21"/>
        <v>#VALUE!</v>
      </c>
      <c r="BX19" s="564" t="e">
        <f t="shared" si="0"/>
        <v>#VALUE!</v>
      </c>
      <c r="BY19" s="564">
        <f t="shared" si="22"/>
        <v>0.10211999999999999</v>
      </c>
      <c r="BZ19" s="564" t="e">
        <f t="shared" si="23"/>
        <v>#VALUE!</v>
      </c>
      <c r="CA19" s="564" t="e">
        <f t="shared" si="24"/>
        <v>#VALUE!</v>
      </c>
      <c r="CB19" s="611" t="e">
        <f t="shared" si="25"/>
        <v>#VALUE!</v>
      </c>
      <c r="CC19" s="610"/>
      <c r="CD19" s="610">
        <f t="shared" si="26"/>
        <v>0.70967741935483875</v>
      </c>
      <c r="CE19" s="610">
        <f t="shared" si="27"/>
        <v>0.56818181818181812</v>
      </c>
      <c r="CF19" s="610">
        <f t="shared" si="34"/>
        <v>0.70000000000000018</v>
      </c>
      <c r="CG19" s="610">
        <f t="shared" si="35"/>
        <v>1.07</v>
      </c>
    </row>
    <row r="20" spans="2:85" ht="20.149999999999999" customHeight="1" x14ac:dyDescent="0.2">
      <c r="B20" s="21" t="s">
        <v>61</v>
      </c>
      <c r="C20" s="52" t="s">
        <v>210</v>
      </c>
      <c r="D20" s="53">
        <v>17.600000000000001</v>
      </c>
      <c r="E20" s="54" t="s">
        <v>285</v>
      </c>
      <c r="F20" s="55" t="s">
        <v>294</v>
      </c>
      <c r="G20" s="55">
        <v>6.5</v>
      </c>
      <c r="H20" s="56">
        <v>4.4999999999999998E-2</v>
      </c>
      <c r="I20" s="55">
        <v>2.2999999999999998</v>
      </c>
      <c r="J20" s="55">
        <v>5.1999999999999998E-2</v>
      </c>
      <c r="K20" s="55" t="s">
        <v>287</v>
      </c>
      <c r="L20" s="52">
        <v>0.03</v>
      </c>
      <c r="M20" s="54">
        <v>73</v>
      </c>
      <c r="N20" s="55" t="s">
        <v>296</v>
      </c>
      <c r="O20" s="55" t="s">
        <v>232</v>
      </c>
      <c r="P20" s="55">
        <v>96</v>
      </c>
      <c r="Q20" s="55" t="s">
        <v>289</v>
      </c>
      <c r="R20" s="55" t="s">
        <v>298</v>
      </c>
      <c r="S20" s="55" t="s">
        <v>290</v>
      </c>
      <c r="T20" s="55">
        <v>4.2</v>
      </c>
      <c r="U20" s="55" t="s">
        <v>291</v>
      </c>
      <c r="V20" s="55">
        <v>4.5</v>
      </c>
      <c r="W20" s="55">
        <v>64</v>
      </c>
      <c r="X20" s="55" t="s">
        <v>242</v>
      </c>
      <c r="Y20" s="55">
        <v>1.4</v>
      </c>
      <c r="Z20" s="55">
        <v>2.2999999999999998</v>
      </c>
      <c r="AA20" s="55">
        <v>20</v>
      </c>
      <c r="AB20" s="55">
        <v>1.3</v>
      </c>
      <c r="AC20" s="55">
        <v>0.94</v>
      </c>
      <c r="AD20" s="55">
        <v>0.23</v>
      </c>
      <c r="AE20" s="55">
        <v>0.63</v>
      </c>
      <c r="AF20" s="55" t="s">
        <v>290</v>
      </c>
      <c r="AG20" s="55" t="s">
        <v>74</v>
      </c>
      <c r="AH20" s="55">
        <v>2.5</v>
      </c>
      <c r="AI20" s="55">
        <v>4.5999999999999999E-2</v>
      </c>
      <c r="AJ20" s="55">
        <v>0.12</v>
      </c>
      <c r="AK20" s="55">
        <v>5.3E-3</v>
      </c>
      <c r="AL20" s="53" t="s">
        <v>292</v>
      </c>
      <c r="AM20" s="53">
        <v>0.11</v>
      </c>
      <c r="AN20" s="53" t="s">
        <v>293</v>
      </c>
      <c r="AO20" s="53" t="s">
        <v>259</v>
      </c>
      <c r="AP20" s="55">
        <v>4.7</v>
      </c>
      <c r="AQ20" s="52"/>
      <c r="AR20" s="54">
        <v>0.32</v>
      </c>
      <c r="AS20" s="56">
        <v>1.3</v>
      </c>
      <c r="AT20" s="56">
        <v>0.64</v>
      </c>
      <c r="AU20" s="56">
        <v>0.6</v>
      </c>
      <c r="AV20" s="56">
        <v>1.2</v>
      </c>
      <c r="AW20" s="55">
        <v>2</v>
      </c>
      <c r="AX20" s="53">
        <v>0.8</v>
      </c>
      <c r="AY20" s="53">
        <v>0.11</v>
      </c>
      <c r="AZ20" s="53">
        <v>4.0999999999999996</v>
      </c>
      <c r="BA20" s="53">
        <v>1.7</v>
      </c>
      <c r="BB20" s="52">
        <v>2.1</v>
      </c>
      <c r="BC20" s="619">
        <f t="shared" si="3"/>
        <v>0.9902439024390246</v>
      </c>
      <c r="BD20" s="610">
        <f t="shared" si="4"/>
        <v>1.0058823529411764</v>
      </c>
      <c r="BF20" s="610" t="e">
        <f t="shared" si="5"/>
        <v>#VALUE!</v>
      </c>
      <c r="BG20" s="610" t="e">
        <f t="shared" si="6"/>
        <v>#VALUE!</v>
      </c>
      <c r="BH20" s="610">
        <f t="shared" si="7"/>
        <v>0.13541666666666666</v>
      </c>
      <c r="BI20" s="610">
        <f t="shared" si="8"/>
        <v>1.9565217391304345E-3</v>
      </c>
      <c r="BJ20" s="610">
        <f t="shared" si="9"/>
        <v>0.12777777777777777</v>
      </c>
      <c r="BK20" s="610">
        <f t="shared" si="10"/>
        <v>1.3333333333333333E-3</v>
      </c>
      <c r="BL20" s="610" t="e">
        <f t="shared" si="11"/>
        <v>#VALUE!</v>
      </c>
      <c r="BM20" s="610">
        <f t="shared" si="12"/>
        <v>1.5E-3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8.9375</v>
      </c>
      <c r="BS20" s="564" t="e">
        <f t="shared" si="17"/>
        <v>#VALUE!</v>
      </c>
      <c r="BT20" s="564">
        <f t="shared" si="18"/>
        <v>0.11249999999999999</v>
      </c>
      <c r="BU20" s="564">
        <f t="shared" si="19"/>
        <v>6.56</v>
      </c>
      <c r="BV20" s="564">
        <f t="shared" si="20"/>
        <v>1.7</v>
      </c>
      <c r="BW20" s="564" t="e">
        <f t="shared" si="21"/>
        <v>#VALUE!</v>
      </c>
      <c r="BX20" s="564" t="e">
        <f t="shared" si="0"/>
        <v>#VALUE!</v>
      </c>
      <c r="BY20" s="564">
        <f t="shared" si="22"/>
        <v>8.8319999999999996E-2</v>
      </c>
      <c r="BZ20" s="564" t="e">
        <f t="shared" si="23"/>
        <v>#VALUE!</v>
      </c>
      <c r="CA20" s="564" t="e">
        <f t="shared" si="24"/>
        <v>#VALUE!</v>
      </c>
      <c r="CB20" s="611" t="e">
        <f t="shared" si="25"/>
        <v>#VALUE!</v>
      </c>
      <c r="CD20" s="610">
        <f t="shared" si="26"/>
        <v>0.7068965517241379</v>
      </c>
      <c r="CE20" s="610">
        <f t="shared" si="27"/>
        <v>0.51219512195121952</v>
      </c>
      <c r="CF20" s="610">
        <f t="shared" si="34"/>
        <v>0.8</v>
      </c>
      <c r="CG20" s="610">
        <f t="shared" si="35"/>
        <v>0.91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23.528571428571428</v>
      </c>
      <c r="E21" s="541">
        <f t="shared" ref="E21:BB21" si="36">AVERAGE(E12:E18)</f>
        <v>8.0000000000000002E-3</v>
      </c>
      <c r="F21" s="541">
        <f t="shared" si="36"/>
        <v>0.11614285714285714</v>
      </c>
      <c r="G21" s="540">
        <f t="shared" si="36"/>
        <v>7.0428571428571427</v>
      </c>
      <c r="H21" s="541">
        <f t="shared" si="36"/>
        <v>9.0857142857142859E-2</v>
      </c>
      <c r="I21" s="540">
        <f t="shared" si="36"/>
        <v>2.4285714285714284</v>
      </c>
      <c r="J21" s="541">
        <f t="shared" si="36"/>
        <v>8.9714285714285719E-2</v>
      </c>
      <c r="K21" s="541">
        <f t="shared" si="36"/>
        <v>1.5357142857142859E-2</v>
      </c>
      <c r="L21" s="541">
        <f t="shared" si="36"/>
        <v>5.0999999999999997E-2</v>
      </c>
      <c r="M21" s="540">
        <f t="shared" si="36"/>
        <v>111.71428571428571</v>
      </c>
      <c r="N21" s="540">
        <f t="shared" si="36"/>
        <v>48.571428571428569</v>
      </c>
      <c r="O21" s="540" t="e">
        <f t="shared" si="36"/>
        <v>#DIV/0!</v>
      </c>
      <c r="P21" s="540">
        <f t="shared" si="36"/>
        <v>138</v>
      </c>
      <c r="Q21" s="540">
        <f t="shared" si="36"/>
        <v>85</v>
      </c>
      <c r="R21" s="540">
        <f t="shared" si="36"/>
        <v>1.5000000000000001E-2</v>
      </c>
      <c r="S21" s="540" t="e">
        <f t="shared" si="36"/>
        <v>#DIV/0!</v>
      </c>
      <c r="T21" s="540">
        <f t="shared" si="36"/>
        <v>5.3</v>
      </c>
      <c r="U21" s="540">
        <f t="shared" si="36"/>
        <v>0.98571428571428554</v>
      </c>
      <c r="V21" s="540">
        <f t="shared" si="36"/>
        <v>7.0428571428571427</v>
      </c>
      <c r="W21" s="540">
        <f t="shared" si="36"/>
        <v>89.285714285714292</v>
      </c>
      <c r="X21" s="540">
        <f t="shared" si="36"/>
        <v>0.115</v>
      </c>
      <c r="Y21" s="540">
        <f t="shared" si="36"/>
        <v>1.632857142857143</v>
      </c>
      <c r="Z21" s="540">
        <f t="shared" si="36"/>
        <v>3.6857142857142855</v>
      </c>
      <c r="AA21" s="540">
        <f t="shared" si="36"/>
        <v>48.142857142857146</v>
      </c>
      <c r="AB21" s="540">
        <f t="shared" si="36"/>
        <v>1.0171428571428571</v>
      </c>
      <c r="AC21" s="541">
        <f t="shared" si="36"/>
        <v>1.0814285714285714</v>
      </c>
      <c r="AD21" s="541">
        <f t="shared" si="36"/>
        <v>0.24142857142857146</v>
      </c>
      <c r="AE21" s="541">
        <f t="shared" si="36"/>
        <v>0.64714285714285713</v>
      </c>
      <c r="AF21" s="541" t="e">
        <f t="shared" si="36"/>
        <v>#DIV/0!</v>
      </c>
      <c r="AG21" s="541">
        <f t="shared" si="36"/>
        <v>2.6642857142857142E-2</v>
      </c>
      <c r="AH21" s="541">
        <f t="shared" si="36"/>
        <v>7.6</v>
      </c>
      <c r="AI21" s="541">
        <f t="shared" si="36"/>
        <v>0.10685714285714286</v>
      </c>
      <c r="AJ21" s="541">
        <f t="shared" si="36"/>
        <v>0.13800000000000001</v>
      </c>
      <c r="AK21" s="541">
        <f t="shared" si="36"/>
        <v>4.2571428571428569E-3</v>
      </c>
      <c r="AL21" s="541">
        <f t="shared" si="36"/>
        <v>1.1499999999999998E-2</v>
      </c>
      <c r="AM21" s="541">
        <f t="shared" si="36"/>
        <v>0.188</v>
      </c>
      <c r="AN21" s="541">
        <f t="shared" si="36"/>
        <v>1.2499999999999999E-2</v>
      </c>
      <c r="AO21" s="541">
        <f t="shared" si="36"/>
        <v>0.01</v>
      </c>
      <c r="AP21" s="541">
        <f t="shared" si="36"/>
        <v>5.3571428571428568</v>
      </c>
      <c r="AQ21" s="541" t="e">
        <f t="shared" si="36"/>
        <v>#DIV/0!</v>
      </c>
      <c r="AR21" s="540">
        <f t="shared" si="36"/>
        <v>0.36857142857142861</v>
      </c>
      <c r="AS21" s="540">
        <f t="shared" si="36"/>
        <v>1.5142857142857142</v>
      </c>
      <c r="AT21" s="540">
        <f t="shared" si="36"/>
        <v>1.0971428571428572</v>
      </c>
      <c r="AU21" s="540">
        <f t="shared" si="36"/>
        <v>0.72428571428571431</v>
      </c>
      <c r="AV21" s="540">
        <f t="shared" si="36"/>
        <v>1.4714285714285715</v>
      </c>
      <c r="AW21" s="540">
        <f t="shared" si="36"/>
        <v>2.1857142857142859</v>
      </c>
      <c r="AX21" s="540">
        <f t="shared" si="36"/>
        <v>1.03</v>
      </c>
      <c r="AY21" s="540">
        <f t="shared" si="36"/>
        <v>0.10714285714285714</v>
      </c>
      <c r="AZ21" s="540">
        <f t="shared" si="36"/>
        <v>5.2</v>
      </c>
      <c r="BA21" s="540">
        <f t="shared" si="36"/>
        <v>1.842857142857143</v>
      </c>
      <c r="BB21" s="540">
        <f t="shared" si="36"/>
        <v>3.4714285714285715</v>
      </c>
      <c r="CD21" s="691">
        <f>AVERAGE(CD12:CD18)</f>
        <v>0.73793489832600279</v>
      </c>
      <c r="CE21" s="691">
        <f>AVERAGE(CE12:CE18)</f>
        <v>0.66507220854770799</v>
      </c>
      <c r="CF21" s="691">
        <f>AVERAGE(CF12:CF18)</f>
        <v>0.71428571428571419</v>
      </c>
      <c r="CG21" s="691">
        <f>AVERAGE(CG12:CG18)</f>
        <v>1.1371428571428572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20.45</v>
      </c>
      <c r="E22" s="545">
        <f t="shared" ref="E22:BB22" si="37">AVERAGE(E7:E20)</f>
        <v>8.0000000000000002E-3</v>
      </c>
      <c r="F22" s="545">
        <f t="shared" si="37"/>
        <v>0.11161538461538462</v>
      </c>
      <c r="G22" s="544">
        <f t="shared" si="37"/>
        <v>5.757142857142858</v>
      </c>
      <c r="H22" s="545">
        <f t="shared" si="37"/>
        <v>7.3428571428571426E-2</v>
      </c>
      <c r="I22" s="544">
        <f t="shared" si="37"/>
        <v>1.9735714285714285</v>
      </c>
      <c r="J22" s="545">
        <f t="shared" si="37"/>
        <v>0.10472727272727274</v>
      </c>
      <c r="K22" s="545">
        <f t="shared" si="37"/>
        <v>1.6500000000000001E-2</v>
      </c>
      <c r="L22" s="545">
        <f t="shared" si="37"/>
        <v>4.3714285714285719E-2</v>
      </c>
      <c r="M22" s="544">
        <f t="shared" si="37"/>
        <v>96.428571428571431</v>
      </c>
      <c r="N22" s="544">
        <f t="shared" si="37"/>
        <v>52.666666666666664</v>
      </c>
      <c r="O22" s="544" t="e">
        <f t="shared" si="37"/>
        <v>#DIV/0!</v>
      </c>
      <c r="P22" s="544">
        <f t="shared" si="37"/>
        <v>139.35714285714286</v>
      </c>
      <c r="Q22" s="544">
        <f t="shared" si="37"/>
        <v>85</v>
      </c>
      <c r="R22" s="544">
        <f t="shared" si="37"/>
        <v>1.5000000000000001E-2</v>
      </c>
      <c r="S22" s="544" t="e">
        <f t="shared" si="37"/>
        <v>#DIV/0!</v>
      </c>
      <c r="T22" s="544">
        <f t="shared" si="37"/>
        <v>4.371428571428571</v>
      </c>
      <c r="U22" s="544">
        <f t="shared" si="37"/>
        <v>1.2636363636363639</v>
      </c>
      <c r="V22" s="544">
        <f t="shared" si="37"/>
        <v>6.3</v>
      </c>
      <c r="W22" s="544">
        <f t="shared" si="37"/>
        <v>85.214285714285708</v>
      </c>
      <c r="X22" s="544">
        <f t="shared" si="37"/>
        <v>0.115</v>
      </c>
      <c r="Y22" s="544">
        <f t="shared" si="37"/>
        <v>1.6027272727272726</v>
      </c>
      <c r="Z22" s="544">
        <f t="shared" si="37"/>
        <v>3.5571428571428565</v>
      </c>
      <c r="AA22" s="544">
        <f t="shared" si="37"/>
        <v>39.214285714285715</v>
      </c>
      <c r="AB22" s="544">
        <f t="shared" si="37"/>
        <v>0.90642857142857147</v>
      </c>
      <c r="AC22" s="545">
        <f t="shared" si="37"/>
        <v>1.0214285714285714</v>
      </c>
      <c r="AD22" s="545">
        <f t="shared" si="37"/>
        <v>0.22071428571428572</v>
      </c>
      <c r="AE22" s="545">
        <f t="shared" si="37"/>
        <v>0.72785714285714287</v>
      </c>
      <c r="AF22" s="545" t="e">
        <f t="shared" si="37"/>
        <v>#DIV/0!</v>
      </c>
      <c r="AG22" s="545">
        <f t="shared" si="37"/>
        <v>2.6642857142857142E-2</v>
      </c>
      <c r="AH22" s="545">
        <f t="shared" si="37"/>
        <v>6.8071428571428569</v>
      </c>
      <c r="AI22" s="545">
        <f t="shared" si="37"/>
        <v>8.5214285714285715E-2</v>
      </c>
      <c r="AJ22" s="545">
        <f t="shared" si="37"/>
        <v>0.12171428571428573</v>
      </c>
      <c r="AK22" s="545">
        <f t="shared" si="37"/>
        <v>4.2583333333333336E-3</v>
      </c>
      <c r="AL22" s="545">
        <f t="shared" si="37"/>
        <v>1.1499999999999998E-2</v>
      </c>
      <c r="AM22" s="545">
        <f t="shared" si="37"/>
        <v>0.19466666666666665</v>
      </c>
      <c r="AN22" s="545">
        <f t="shared" si="37"/>
        <v>1.2499999999999999E-2</v>
      </c>
      <c r="AO22" s="545">
        <f t="shared" si="37"/>
        <v>0.01</v>
      </c>
      <c r="AP22" s="545">
        <f t="shared" si="37"/>
        <v>4.6357142857142861</v>
      </c>
      <c r="AQ22" s="545" t="e">
        <f t="shared" si="37"/>
        <v>#DIV/0!</v>
      </c>
      <c r="AR22" s="544">
        <f t="shared" si="37"/>
        <v>0.36428571428571427</v>
      </c>
      <c r="AS22" s="544">
        <f t="shared" si="37"/>
        <v>1.4007142857142856</v>
      </c>
      <c r="AT22" s="544">
        <f t="shared" si="37"/>
        <v>1.0935714285714286</v>
      </c>
      <c r="AU22" s="544">
        <f t="shared" si="37"/>
        <v>0.71071428571428552</v>
      </c>
      <c r="AV22" s="544">
        <f t="shared" si="37"/>
        <v>1.2350000000000001</v>
      </c>
      <c r="AW22" s="544">
        <f t="shared" si="37"/>
        <v>1.9092857142857143</v>
      </c>
      <c r="AX22" s="544">
        <f t="shared" si="37"/>
        <v>0.88857142857142868</v>
      </c>
      <c r="AY22" s="544">
        <f t="shared" si="37"/>
        <v>0.10042857142857145</v>
      </c>
      <c r="AZ22" s="544">
        <f t="shared" si="37"/>
        <v>4.8285714285714292</v>
      </c>
      <c r="BA22" s="544">
        <f t="shared" si="37"/>
        <v>1.6635714285714285</v>
      </c>
      <c r="BB22" s="544">
        <f t="shared" si="37"/>
        <v>3.1878571428571427</v>
      </c>
      <c r="CD22" s="691">
        <f>AVERAGE(CD7:CD20)</f>
        <v>0.73830391665060191</v>
      </c>
      <c r="CE22" s="691">
        <f>AVERAGE(CE7:CE20)</f>
        <v>0.64099658243365931</v>
      </c>
      <c r="CF22" s="691">
        <f>AVERAGE(CF7:CF20)</f>
        <v>0.67428571428571438</v>
      </c>
      <c r="CG22" s="691">
        <f>AVERAGE(CG7:CG20)</f>
        <v>0.98899999999999999</v>
      </c>
    </row>
    <row r="23" spans="2:85" ht="20.149999999999999" customHeight="1" x14ac:dyDescent="0.2">
      <c r="B23" s="704" t="s">
        <v>94</v>
      </c>
      <c r="C23" s="705"/>
      <c r="D23" s="57"/>
      <c r="E23" s="30">
        <v>1.6E-2</v>
      </c>
      <c r="F23" s="29">
        <v>5.0999999999999997E-2</v>
      </c>
      <c r="G23" s="29">
        <v>0.18</v>
      </c>
      <c r="H23" s="30">
        <v>9.5999999999999992E-3</v>
      </c>
      <c r="I23" s="29">
        <v>4.3E-3</v>
      </c>
      <c r="J23" s="29">
        <v>0.03</v>
      </c>
      <c r="K23" s="29">
        <v>1.4999999999999999E-2</v>
      </c>
      <c r="L23" s="26">
        <v>1.7000000000000001E-2</v>
      </c>
      <c r="M23" s="30">
        <v>21</v>
      </c>
      <c r="N23" s="29">
        <v>55</v>
      </c>
      <c r="O23" s="29" t="s">
        <v>232</v>
      </c>
      <c r="P23" s="29">
        <v>8.5</v>
      </c>
      <c r="Q23" s="29">
        <v>170</v>
      </c>
      <c r="R23" s="29">
        <v>1.2E-2</v>
      </c>
      <c r="S23" s="29">
        <v>500</v>
      </c>
      <c r="T23" s="29">
        <v>0.14000000000000001</v>
      </c>
      <c r="U23" s="29">
        <v>1.1000000000000001</v>
      </c>
      <c r="V23" s="29">
        <v>0.2</v>
      </c>
      <c r="W23" s="29">
        <v>24</v>
      </c>
      <c r="X23" s="29">
        <v>0.23</v>
      </c>
      <c r="Y23" s="29">
        <v>0.85</v>
      </c>
      <c r="Z23" s="29">
        <v>0.94</v>
      </c>
      <c r="AA23" s="29">
        <v>4</v>
      </c>
      <c r="AB23" s="29">
        <v>2.9000000000000001E-2</v>
      </c>
      <c r="AC23" s="29">
        <v>0.19</v>
      </c>
      <c r="AD23" s="29">
        <v>6.3E-2</v>
      </c>
      <c r="AE23" s="29">
        <v>0.15</v>
      </c>
      <c r="AF23" s="29">
        <v>87</v>
      </c>
      <c r="AG23" s="29">
        <v>3.5000000000000003E-2</v>
      </c>
      <c r="AH23" s="29">
        <v>0.19</v>
      </c>
      <c r="AI23" s="29">
        <v>1.2E-2</v>
      </c>
      <c r="AJ23" s="29">
        <v>2.1999999999999999E-2</v>
      </c>
      <c r="AK23" s="29">
        <v>1.9E-3</v>
      </c>
      <c r="AL23" s="27">
        <v>2.3E-2</v>
      </c>
      <c r="AM23" s="58">
        <v>8.4000000000000005E-2</v>
      </c>
      <c r="AN23" s="58">
        <v>2.5000000000000001E-2</v>
      </c>
      <c r="AO23" s="58">
        <v>0.02</v>
      </c>
      <c r="AP23" s="59">
        <v>0.55000000000000004</v>
      </c>
      <c r="AQ23" s="60"/>
      <c r="AR23" s="28">
        <v>0.13</v>
      </c>
      <c r="AS23" s="30">
        <v>0.16</v>
      </c>
      <c r="AT23" s="30">
        <v>0.21</v>
      </c>
      <c r="AU23" s="30">
        <v>0.03</v>
      </c>
      <c r="AV23" s="30">
        <v>0</v>
      </c>
      <c r="AW23" s="29">
        <v>1.2E-2</v>
      </c>
      <c r="AX23" s="27">
        <v>1.6E-2</v>
      </c>
      <c r="AY23" s="27">
        <v>0</v>
      </c>
      <c r="AZ23" s="27"/>
      <c r="BA23" s="27"/>
      <c r="BB23" s="26">
        <v>0.14000000000000001</v>
      </c>
    </row>
    <row r="24" spans="2:85" ht="20.149999999999999" customHeight="1" x14ac:dyDescent="0.2">
      <c r="B24" s="692" t="s">
        <v>95</v>
      </c>
      <c r="C24" s="693"/>
      <c r="D24" s="61"/>
      <c r="E24" s="56">
        <v>5.1999999999999998E-2</v>
      </c>
      <c r="F24" s="55">
        <v>0.17</v>
      </c>
      <c r="G24" s="55">
        <v>0.59</v>
      </c>
      <c r="H24" s="56">
        <v>3.2000000000000001E-2</v>
      </c>
      <c r="I24" s="55">
        <v>1.4E-2</v>
      </c>
      <c r="J24" s="55">
        <v>0.1</v>
      </c>
      <c r="K24" s="55">
        <v>5.0999999999999997E-2</v>
      </c>
      <c r="L24" s="52">
        <v>5.6000000000000001E-2</v>
      </c>
      <c r="M24" s="56">
        <v>70</v>
      </c>
      <c r="N24" s="55">
        <v>180</v>
      </c>
      <c r="O24" s="55" t="s">
        <v>232</v>
      </c>
      <c r="P24" s="55">
        <v>28</v>
      </c>
      <c r="Q24" s="55">
        <v>560</v>
      </c>
      <c r="R24" s="55">
        <v>4.1000000000000002E-2</v>
      </c>
      <c r="S24" s="55">
        <v>1700</v>
      </c>
      <c r="T24" s="55">
        <v>0.47</v>
      </c>
      <c r="U24" s="55">
        <v>3.7</v>
      </c>
      <c r="V24" s="55">
        <v>0.67</v>
      </c>
      <c r="W24" s="55">
        <v>79</v>
      </c>
      <c r="X24" s="55">
        <v>0.77</v>
      </c>
      <c r="Y24" s="55">
        <v>2.8</v>
      </c>
      <c r="Z24" s="55">
        <v>3.1</v>
      </c>
      <c r="AA24" s="55">
        <v>13</v>
      </c>
      <c r="AB24" s="55">
        <v>9.5000000000000001E-2</v>
      </c>
      <c r="AC24" s="55">
        <v>0.63</v>
      </c>
      <c r="AD24" s="55">
        <v>0.21</v>
      </c>
      <c r="AE24" s="55">
        <v>0.51</v>
      </c>
      <c r="AF24" s="55">
        <v>290</v>
      </c>
      <c r="AG24" s="55">
        <v>0.12</v>
      </c>
      <c r="AH24" s="55">
        <v>0.63</v>
      </c>
      <c r="AI24" s="55">
        <v>3.9E-2</v>
      </c>
      <c r="AJ24" s="55">
        <v>7.1999999999999995E-2</v>
      </c>
      <c r="AK24" s="55">
        <v>6.1999999999999998E-3</v>
      </c>
      <c r="AL24" s="53">
        <v>7.6999999999999999E-2</v>
      </c>
      <c r="AM24" s="53">
        <v>0.28000000000000003</v>
      </c>
      <c r="AN24" s="53">
        <v>8.3000000000000004E-2</v>
      </c>
      <c r="AO24" s="53">
        <v>6.7000000000000004E-2</v>
      </c>
      <c r="AP24" s="55">
        <v>1.8</v>
      </c>
      <c r="AQ24" s="52"/>
      <c r="AR24" s="54">
        <v>0.44</v>
      </c>
      <c r="AS24" s="56">
        <v>0.52</v>
      </c>
      <c r="AT24" s="56">
        <v>0.7</v>
      </c>
      <c r="AU24" s="56">
        <v>0.1</v>
      </c>
      <c r="AV24" s="56">
        <v>0</v>
      </c>
      <c r="AW24" s="55">
        <v>4.1000000000000002E-2</v>
      </c>
      <c r="AX24" s="53">
        <v>5.3999999999999999E-2</v>
      </c>
      <c r="AY24" s="53">
        <v>0</v>
      </c>
      <c r="AZ24" s="53"/>
      <c r="BA24" s="53"/>
      <c r="BB24" s="52">
        <v>0.48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83" priority="6" stopIfTrue="1" operator="notBetween">
      <formula>0.8</formula>
      <formula>1.2</formula>
    </cfRule>
  </conditionalFormatting>
  <conditionalFormatting sqref="BC7:BD20">
    <cfRule type="cellIs" dxfId="82" priority="5" stopIfTrue="1" operator="notBetween">
      <formula>0.9</formula>
      <formula>1.1</formula>
    </cfRule>
  </conditionalFormatting>
  <conditionalFormatting sqref="BP7:BP20">
    <cfRule type="cellIs" dxfId="81" priority="3" stopIfTrue="1" operator="notBetween">
      <formula>0.8</formula>
      <formula>1.2</formula>
    </cfRule>
  </conditionalFormatting>
  <conditionalFormatting sqref="CF7:CF20">
    <cfRule type="cellIs" dxfId="80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I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100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8</v>
      </c>
      <c r="E5" s="12" t="s">
        <v>9</v>
      </c>
      <c r="F5" s="13" t="s">
        <v>10</v>
      </c>
      <c r="G5" s="13" t="s">
        <v>11</v>
      </c>
      <c r="H5" s="14" t="s">
        <v>12</v>
      </c>
      <c r="I5" s="13" t="s">
        <v>13</v>
      </c>
      <c r="J5" s="13" t="s">
        <v>14</v>
      </c>
      <c r="K5" s="13" t="s">
        <v>15</v>
      </c>
      <c r="L5" s="15" t="s">
        <v>16</v>
      </c>
      <c r="M5" s="16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40</v>
      </c>
      <c r="AK5" s="17" t="s">
        <v>41</v>
      </c>
      <c r="AL5" s="18" t="s">
        <v>42</v>
      </c>
      <c r="AM5" s="18" t="s">
        <v>43</v>
      </c>
      <c r="AN5" s="18" t="s">
        <v>44</v>
      </c>
      <c r="AO5" s="18" t="s">
        <v>45</v>
      </c>
      <c r="AP5" s="17" t="s">
        <v>46</v>
      </c>
      <c r="AQ5" s="19" t="s">
        <v>47</v>
      </c>
      <c r="AR5" s="12" t="s">
        <v>48</v>
      </c>
      <c r="AS5" s="14" t="s">
        <v>49</v>
      </c>
      <c r="AT5" s="14" t="s">
        <v>50</v>
      </c>
      <c r="AU5" s="14" t="s">
        <v>51</v>
      </c>
      <c r="AV5" s="14" t="s">
        <v>52</v>
      </c>
      <c r="AW5" s="13" t="s">
        <v>53</v>
      </c>
      <c r="AX5" s="11" t="s">
        <v>54</v>
      </c>
      <c r="AY5" s="11" t="s">
        <v>55</v>
      </c>
      <c r="AZ5" s="11" t="s">
        <v>56</v>
      </c>
      <c r="BA5" s="11" t="s">
        <v>57</v>
      </c>
      <c r="BB5" s="15" t="s">
        <v>58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59</v>
      </c>
      <c r="E6" s="21" t="s">
        <v>59</v>
      </c>
      <c r="F6" s="22" t="s">
        <v>59</v>
      </c>
      <c r="G6" s="22" t="s">
        <v>59</v>
      </c>
      <c r="H6" s="23" t="s">
        <v>59</v>
      </c>
      <c r="I6" s="22" t="s">
        <v>59</v>
      </c>
      <c r="J6" s="22" t="s">
        <v>59</v>
      </c>
      <c r="K6" s="22" t="s">
        <v>59</v>
      </c>
      <c r="L6" s="24" t="s">
        <v>59</v>
      </c>
      <c r="M6" s="21" t="s">
        <v>60</v>
      </c>
      <c r="N6" s="22" t="s">
        <v>60</v>
      </c>
      <c r="O6" s="22" t="s">
        <v>60</v>
      </c>
      <c r="P6" s="22" t="s">
        <v>60</v>
      </c>
      <c r="Q6" s="22" t="s">
        <v>60</v>
      </c>
      <c r="R6" s="22" t="s">
        <v>60</v>
      </c>
      <c r="S6" s="22" t="s">
        <v>60</v>
      </c>
      <c r="T6" s="22" t="s">
        <v>60</v>
      </c>
      <c r="U6" s="22" t="s">
        <v>60</v>
      </c>
      <c r="V6" s="22" t="s">
        <v>60</v>
      </c>
      <c r="W6" s="22" t="s">
        <v>60</v>
      </c>
      <c r="X6" s="22" t="s">
        <v>60</v>
      </c>
      <c r="Y6" s="22" t="s">
        <v>60</v>
      </c>
      <c r="Z6" s="22" t="s">
        <v>60</v>
      </c>
      <c r="AA6" s="22" t="s">
        <v>60</v>
      </c>
      <c r="AB6" s="22" t="s">
        <v>60</v>
      </c>
      <c r="AC6" s="22" t="s">
        <v>60</v>
      </c>
      <c r="AD6" s="22" t="s">
        <v>60</v>
      </c>
      <c r="AE6" s="22" t="s">
        <v>60</v>
      </c>
      <c r="AF6" s="22" t="s">
        <v>60</v>
      </c>
      <c r="AG6" s="22" t="s">
        <v>60</v>
      </c>
      <c r="AH6" s="22" t="s">
        <v>60</v>
      </c>
      <c r="AI6" s="22" t="s">
        <v>60</v>
      </c>
      <c r="AJ6" s="22" t="s">
        <v>60</v>
      </c>
      <c r="AK6" s="22" t="s">
        <v>60</v>
      </c>
      <c r="AL6" s="20" t="s">
        <v>60</v>
      </c>
      <c r="AM6" s="20" t="s">
        <v>60</v>
      </c>
      <c r="AN6" s="20" t="s">
        <v>60</v>
      </c>
      <c r="AO6" s="20" t="s">
        <v>60</v>
      </c>
      <c r="AP6" s="22" t="s">
        <v>60</v>
      </c>
      <c r="AQ6" s="25"/>
      <c r="AR6" s="21" t="s">
        <v>59</v>
      </c>
      <c r="AS6" s="21" t="s">
        <v>59</v>
      </c>
      <c r="AT6" s="21" t="s">
        <v>59</v>
      </c>
      <c r="AU6" s="21" t="s">
        <v>59</v>
      </c>
      <c r="AV6" s="21" t="s">
        <v>59</v>
      </c>
      <c r="AW6" s="21" t="s">
        <v>59</v>
      </c>
      <c r="AX6" s="21" t="s">
        <v>59</v>
      </c>
      <c r="AY6" s="21" t="s">
        <v>59</v>
      </c>
      <c r="AZ6" s="21" t="s">
        <v>59</v>
      </c>
      <c r="BA6" s="21" t="s">
        <v>59</v>
      </c>
      <c r="BB6" s="24" t="s">
        <v>59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62</v>
      </c>
      <c r="D7" s="27">
        <v>3.8</v>
      </c>
      <c r="E7" s="28" t="s">
        <v>63</v>
      </c>
      <c r="F7" s="29">
        <v>0.12</v>
      </c>
      <c r="G7" s="29">
        <v>1</v>
      </c>
      <c r="H7" s="30">
        <v>6.9000000000000006E-2</v>
      </c>
      <c r="I7" s="29">
        <v>0.36</v>
      </c>
      <c r="J7" s="29">
        <v>1.4999999999999999E-2</v>
      </c>
      <c r="K7" s="29">
        <v>3.5000000000000001E-3</v>
      </c>
      <c r="L7" s="26">
        <v>6.4999999999999997E-3</v>
      </c>
      <c r="M7" s="28">
        <v>84</v>
      </c>
      <c r="N7" s="29">
        <v>16</v>
      </c>
      <c r="O7" s="29" t="s">
        <v>64</v>
      </c>
      <c r="P7" s="29">
        <v>36</v>
      </c>
      <c r="Q7" s="29">
        <v>4.3</v>
      </c>
      <c r="R7" s="29" t="s">
        <v>65</v>
      </c>
      <c r="S7" s="29">
        <v>1.4</v>
      </c>
      <c r="T7" s="29">
        <v>0.57999999999999996</v>
      </c>
      <c r="U7" s="29" t="s">
        <v>66</v>
      </c>
      <c r="V7" s="29">
        <v>1.6</v>
      </c>
      <c r="W7" s="29">
        <v>26</v>
      </c>
      <c r="X7" s="29" t="s">
        <v>67</v>
      </c>
      <c r="Y7" s="29">
        <v>0.21</v>
      </c>
      <c r="Z7" s="29">
        <v>2.5</v>
      </c>
      <c r="AA7" s="29">
        <v>7.3</v>
      </c>
      <c r="AB7" s="29">
        <v>0.13</v>
      </c>
      <c r="AC7" s="29" t="s">
        <v>68</v>
      </c>
      <c r="AD7" s="29" t="s">
        <v>69</v>
      </c>
      <c r="AE7" s="29">
        <v>0.22</v>
      </c>
      <c r="AF7" s="29">
        <v>0.35</v>
      </c>
      <c r="AG7" s="29" t="s">
        <v>70</v>
      </c>
      <c r="AH7" s="29" t="s">
        <v>71</v>
      </c>
      <c r="AI7" s="29" t="s">
        <v>72</v>
      </c>
      <c r="AJ7" s="29" t="s">
        <v>73</v>
      </c>
      <c r="AK7" s="29" t="s">
        <v>74</v>
      </c>
      <c r="AL7" s="27" t="s">
        <v>75</v>
      </c>
      <c r="AM7" s="27" t="s">
        <v>76</v>
      </c>
      <c r="AN7" s="27" t="s">
        <v>77</v>
      </c>
      <c r="AO7" s="27" t="s">
        <v>70</v>
      </c>
      <c r="AP7" s="29">
        <v>7.8</v>
      </c>
      <c r="AQ7" s="26"/>
      <c r="AR7" s="28">
        <v>0</v>
      </c>
      <c r="AS7" s="30">
        <v>0.83</v>
      </c>
      <c r="AT7" s="30">
        <v>0.56999999999999995</v>
      </c>
      <c r="AU7" s="30">
        <v>0.28000000000000003</v>
      </c>
      <c r="AV7" s="30">
        <v>0.15</v>
      </c>
      <c r="AW7" s="29">
        <v>0.2</v>
      </c>
      <c r="AX7" s="27">
        <v>0.41</v>
      </c>
      <c r="AY7" s="27">
        <v>5.5E-2</v>
      </c>
      <c r="AZ7" s="27">
        <v>1.8</v>
      </c>
      <c r="BA7" s="27">
        <v>0.52</v>
      </c>
      <c r="BB7" s="26" t="s">
        <v>64</v>
      </c>
      <c r="BC7" s="619">
        <f>SUM(AR7:AV7)/AZ7</f>
        <v>1.0166666666666666</v>
      </c>
      <c r="BD7" s="610">
        <f>(SUM(AW7:AY7)-AV7)/BA7</f>
        <v>0.99038461538461542</v>
      </c>
      <c r="BF7" s="610" t="e">
        <f>E7/35.5</f>
        <v>#VALUE!</v>
      </c>
      <c r="BG7" s="610">
        <f>F7/62</f>
        <v>1.9354838709677419E-3</v>
      </c>
      <c r="BH7" s="610">
        <f>G7/(96/2)</f>
        <v>2.0833333333333332E-2</v>
      </c>
      <c r="BI7" s="610">
        <f>H7/23</f>
        <v>3.0000000000000001E-3</v>
      </c>
      <c r="BJ7" s="610">
        <f>I7/18</f>
        <v>0.02</v>
      </c>
      <c r="BK7" s="610">
        <f>J7/39</f>
        <v>3.8461538461538462E-4</v>
      </c>
      <c r="BL7" s="610">
        <f>K7/(24.3/2)</f>
        <v>2.8806584362139919E-4</v>
      </c>
      <c r="BM7" s="610">
        <f>L7/(40/2)</f>
        <v>3.2499999999999999E-4</v>
      </c>
      <c r="BN7" s="563" t="e">
        <f>SUM(BF7:BH7)*1000</f>
        <v>#VALUE!</v>
      </c>
      <c r="BO7" s="563">
        <f>SUM(BI7:BM7)*1000</f>
        <v>23.997681228236782</v>
      </c>
      <c r="BP7" s="611" t="e">
        <f>BN7/BO7</f>
        <v>#VALUE!</v>
      </c>
      <c r="BR7" s="564">
        <f>1.375*G7</f>
        <v>1.375</v>
      </c>
      <c r="BS7" s="564">
        <f>1.29*F7</f>
        <v>0.15479999999999999</v>
      </c>
      <c r="BT7" s="564">
        <f>2.5*H7</f>
        <v>0.17250000000000001</v>
      </c>
      <c r="BU7" s="564">
        <f>1.6*AZ7</f>
        <v>2.8800000000000003</v>
      </c>
      <c r="BV7" s="564">
        <f>BA7</f>
        <v>0.52</v>
      </c>
      <c r="BW7" s="564">
        <f>9.19/1000*N7</f>
        <v>0.14704</v>
      </c>
      <c r="BX7" s="564">
        <f t="shared" ref="BX7:BX20" si="0">Q7/1000*1.4</f>
        <v>6.0199999999999993E-3</v>
      </c>
      <c r="BY7" s="564">
        <f>W7/1000*1.38</f>
        <v>3.5879999999999995E-2</v>
      </c>
      <c r="BZ7" s="564">
        <f>S7/1000*1.67</f>
        <v>2.3379999999999998E-3</v>
      </c>
      <c r="CA7" s="564">
        <f>SUM(BR7:BZ7)</f>
        <v>5.2935779999999992</v>
      </c>
      <c r="CB7" s="611">
        <f>CA7/D7</f>
        <v>1.3930468421052631</v>
      </c>
      <c r="CD7" s="610">
        <f>AZ7/(AZ7+BA7)</f>
        <v>0.77586206896551713</v>
      </c>
      <c r="CE7" s="610" t="e">
        <f>BB7/AZ7</f>
        <v>#VALUE!</v>
      </c>
      <c r="CF7" s="610">
        <f t="shared" ref="CF7:CF12" si="1">IF(AW7-AV7&gt;0,AW7-AV7,0)</f>
        <v>5.0000000000000017E-2</v>
      </c>
      <c r="CG7" s="610">
        <f t="shared" ref="CG7:CG12" si="2">IF(AW7-AV7&gt;0,AX7+AY7,AW7+AX7+AY7-AV7)</f>
        <v>0.46499999999999997</v>
      </c>
    </row>
    <row r="8" spans="2:85" ht="20.149999999999999" customHeight="1" x14ac:dyDescent="0.2">
      <c r="B8" s="31" t="s">
        <v>61</v>
      </c>
      <c r="C8" s="32" t="s">
        <v>78</v>
      </c>
      <c r="D8" s="33">
        <v>8.1999999999999993</v>
      </c>
      <c r="E8" s="34" t="s">
        <v>63</v>
      </c>
      <c r="F8" s="35">
        <v>8.6999999999999994E-2</v>
      </c>
      <c r="G8" s="35">
        <v>1.5</v>
      </c>
      <c r="H8" s="36">
        <v>3.3000000000000002E-2</v>
      </c>
      <c r="I8" s="35">
        <v>0.64</v>
      </c>
      <c r="J8" s="35">
        <v>4.3999999999999997E-2</v>
      </c>
      <c r="K8" s="35">
        <v>2E-3</v>
      </c>
      <c r="L8" s="32">
        <v>8.6999999999999994E-3</v>
      </c>
      <c r="M8" s="34">
        <v>34</v>
      </c>
      <c r="N8" s="35">
        <v>9.9</v>
      </c>
      <c r="O8" s="35" t="s">
        <v>64</v>
      </c>
      <c r="P8" s="35">
        <v>13</v>
      </c>
      <c r="Q8" s="35">
        <v>2.2000000000000002</v>
      </c>
      <c r="R8" s="35" t="s">
        <v>65</v>
      </c>
      <c r="S8" s="35">
        <v>0.94</v>
      </c>
      <c r="T8" s="35">
        <v>0.54</v>
      </c>
      <c r="U8" s="35">
        <v>0.43</v>
      </c>
      <c r="V8" s="35">
        <v>3.2</v>
      </c>
      <c r="W8" s="35">
        <v>33</v>
      </c>
      <c r="X8" s="35" t="s">
        <v>67</v>
      </c>
      <c r="Y8" s="35" t="s">
        <v>79</v>
      </c>
      <c r="Z8" s="35">
        <v>2.1</v>
      </c>
      <c r="AA8" s="35">
        <v>19</v>
      </c>
      <c r="AB8" s="35">
        <v>0.3</v>
      </c>
      <c r="AC8" s="35" t="s">
        <v>68</v>
      </c>
      <c r="AD8" s="35" t="s">
        <v>69</v>
      </c>
      <c r="AE8" s="35">
        <v>0.56999999999999995</v>
      </c>
      <c r="AF8" s="35">
        <v>0.63</v>
      </c>
      <c r="AG8" s="35" t="s">
        <v>70</v>
      </c>
      <c r="AH8" s="35" t="s">
        <v>71</v>
      </c>
      <c r="AI8" s="35" t="s">
        <v>72</v>
      </c>
      <c r="AJ8" s="35" t="s">
        <v>73</v>
      </c>
      <c r="AK8" s="35" t="s">
        <v>74</v>
      </c>
      <c r="AL8" s="33" t="s">
        <v>75</v>
      </c>
      <c r="AM8" s="33">
        <v>7.3999999999999996E-2</v>
      </c>
      <c r="AN8" s="33" t="s">
        <v>77</v>
      </c>
      <c r="AO8" s="33" t="s">
        <v>70</v>
      </c>
      <c r="AP8" s="35">
        <v>2.9</v>
      </c>
      <c r="AQ8" s="32"/>
      <c r="AR8" s="34">
        <v>0</v>
      </c>
      <c r="AS8" s="36">
        <v>1</v>
      </c>
      <c r="AT8" s="36">
        <v>1.1000000000000001</v>
      </c>
      <c r="AU8" s="36">
        <v>0.59</v>
      </c>
      <c r="AV8" s="36">
        <v>0.44</v>
      </c>
      <c r="AW8" s="35">
        <v>0.6</v>
      </c>
      <c r="AX8" s="33">
        <v>0.81</v>
      </c>
      <c r="AY8" s="33">
        <v>5.5E-2</v>
      </c>
      <c r="AZ8" s="33">
        <v>3.1</v>
      </c>
      <c r="BA8" s="33">
        <v>1</v>
      </c>
      <c r="BB8" s="32" t="s">
        <v>64</v>
      </c>
      <c r="BC8" s="619">
        <f t="shared" ref="BC8:BC20" si="3">SUM(AR8:AV8)/AZ8</f>
        <v>1.0096774193548386</v>
      </c>
      <c r="BD8" s="610">
        <f t="shared" ref="BD8:BD20" si="4">(SUM(AW8:AY8)-AV8)/BA8</f>
        <v>1.0250000000000001</v>
      </c>
      <c r="BF8" s="610" t="e">
        <f t="shared" ref="BF8:BF20" si="5">E8/35.5</f>
        <v>#VALUE!</v>
      </c>
      <c r="BG8" s="610">
        <f t="shared" ref="BG8:BG20" si="6">F8/62</f>
        <v>1.4032258064516129E-3</v>
      </c>
      <c r="BH8" s="610">
        <f t="shared" ref="BH8:BH20" si="7">G8/(96/2)</f>
        <v>3.125E-2</v>
      </c>
      <c r="BI8" s="610">
        <f t="shared" ref="BI8:BI20" si="8">H8/23</f>
        <v>1.4347826086956522E-3</v>
      </c>
      <c r="BJ8" s="610">
        <f t="shared" ref="BJ8:BJ20" si="9">I8/18</f>
        <v>3.5555555555555556E-2</v>
      </c>
      <c r="BK8" s="610">
        <f t="shared" ref="BK8:BK20" si="10">J8/39</f>
        <v>1.1282051282051281E-3</v>
      </c>
      <c r="BL8" s="610">
        <f t="shared" ref="BL8:BL20" si="11">K8/(24.3/2)</f>
        <v>1.6460905349794237E-4</v>
      </c>
      <c r="BM8" s="610">
        <f t="shared" ref="BM8:BM20" si="12">L8/(40/2)</f>
        <v>4.3499999999999995E-4</v>
      </c>
      <c r="BN8" s="563" t="e">
        <f t="shared" ref="BN8:BN20" si="13">SUM(BF8:BH8)*1000</f>
        <v>#VALUE!</v>
      </c>
      <c r="BO8" s="563">
        <f t="shared" ref="BO8:BO20" si="14">SUM(BI8:BM8)*1000</f>
        <v>38.71815234595428</v>
      </c>
      <c r="BP8" s="611" t="e">
        <f t="shared" ref="BP8:BP20" si="15">BN8/BO8</f>
        <v>#VALUE!</v>
      </c>
      <c r="BR8" s="564">
        <f t="shared" ref="BR8:BR20" si="16">1.375*G8</f>
        <v>2.0625</v>
      </c>
      <c r="BS8" s="564">
        <f t="shared" ref="BS8:BS20" si="17">1.29*F8</f>
        <v>0.11223</v>
      </c>
      <c r="BT8" s="564">
        <f t="shared" ref="BT8:BT20" si="18">2.5*H8</f>
        <v>8.2500000000000004E-2</v>
      </c>
      <c r="BU8" s="564">
        <f t="shared" ref="BU8:BU20" si="19">1.6*AZ8</f>
        <v>4.9600000000000009</v>
      </c>
      <c r="BV8" s="564">
        <f t="shared" ref="BV8:BV20" si="20">BA8</f>
        <v>1</v>
      </c>
      <c r="BW8" s="564">
        <f t="shared" ref="BW8:BW20" si="21">9.19/1000*N8</f>
        <v>9.0981000000000006E-2</v>
      </c>
      <c r="BX8" s="564">
        <f t="shared" si="0"/>
        <v>3.0799999999999998E-3</v>
      </c>
      <c r="BY8" s="564">
        <f t="shared" ref="BY8:BY20" si="22">W8/1000*1.38</f>
        <v>4.5539999999999997E-2</v>
      </c>
      <c r="BZ8" s="564">
        <f t="shared" ref="BZ8:BZ20" si="23">S8/1000*1.67</f>
        <v>1.5697999999999999E-3</v>
      </c>
      <c r="CA8" s="564">
        <f t="shared" ref="CA8:CA20" si="24">SUM(BR8:BZ8)</f>
        <v>8.3584008000000019</v>
      </c>
      <c r="CB8" s="611">
        <f t="shared" ref="CB8:CB20" si="25">CA8/D8</f>
        <v>1.0193171707317077</v>
      </c>
      <c r="CD8" s="610">
        <f t="shared" ref="CD8:CD20" si="26">AZ8/(AZ8+BA8)</f>
        <v>0.75609756097560987</v>
      </c>
      <c r="CE8" s="610" t="e">
        <f t="shared" ref="CE8:CE20" si="27">BB8/AZ8</f>
        <v>#VALUE!</v>
      </c>
      <c r="CF8" s="610">
        <f t="shared" si="1"/>
        <v>0.15999999999999998</v>
      </c>
      <c r="CG8" s="610">
        <f t="shared" si="2"/>
        <v>0.8650000000000001</v>
      </c>
    </row>
    <row r="9" spans="2:85" ht="20.149999999999999" customHeight="1" x14ac:dyDescent="0.2">
      <c r="B9" s="31" t="s">
        <v>61</v>
      </c>
      <c r="C9" s="37" t="s">
        <v>80</v>
      </c>
      <c r="D9" s="33">
        <v>11</v>
      </c>
      <c r="E9" s="34" t="s">
        <v>63</v>
      </c>
      <c r="F9" s="35">
        <v>8.5000000000000006E-2</v>
      </c>
      <c r="G9" s="35">
        <v>3</v>
      </c>
      <c r="H9" s="36">
        <v>3.2000000000000001E-2</v>
      </c>
      <c r="I9" s="35">
        <v>1.2</v>
      </c>
      <c r="J9" s="35">
        <v>4.3999999999999997E-2</v>
      </c>
      <c r="K9" s="35">
        <v>1.1999999999999999E-3</v>
      </c>
      <c r="L9" s="32">
        <v>6.6E-3</v>
      </c>
      <c r="M9" s="34">
        <v>19</v>
      </c>
      <c r="N9" s="35">
        <v>5.3</v>
      </c>
      <c r="O9" s="35" t="s">
        <v>64</v>
      </c>
      <c r="P9" s="35">
        <v>11</v>
      </c>
      <c r="Q9" s="35" t="s">
        <v>81</v>
      </c>
      <c r="R9" s="35" t="s">
        <v>65</v>
      </c>
      <c r="S9" s="35">
        <v>1</v>
      </c>
      <c r="T9" s="35">
        <v>0.73</v>
      </c>
      <c r="U9" s="35" t="s">
        <v>66</v>
      </c>
      <c r="V9" s="35">
        <v>2</v>
      </c>
      <c r="W9" s="35">
        <v>26</v>
      </c>
      <c r="X9" s="35" t="s">
        <v>67</v>
      </c>
      <c r="Y9" s="35">
        <v>0.46</v>
      </c>
      <c r="Z9" s="35">
        <v>1.9</v>
      </c>
      <c r="AA9" s="35">
        <v>17</v>
      </c>
      <c r="AB9" s="35">
        <v>0.17</v>
      </c>
      <c r="AC9" s="35" t="s">
        <v>68</v>
      </c>
      <c r="AD9" s="35" t="s">
        <v>69</v>
      </c>
      <c r="AE9" s="35">
        <v>0.28999999999999998</v>
      </c>
      <c r="AF9" s="35">
        <v>0.54</v>
      </c>
      <c r="AG9" s="35" t="s">
        <v>70</v>
      </c>
      <c r="AH9" s="35" t="s">
        <v>71</v>
      </c>
      <c r="AI9" s="35" t="s">
        <v>72</v>
      </c>
      <c r="AJ9" s="35">
        <v>3.5000000000000003E-2</v>
      </c>
      <c r="AK9" s="35" t="s">
        <v>74</v>
      </c>
      <c r="AL9" s="33" t="s">
        <v>75</v>
      </c>
      <c r="AM9" s="33" t="s">
        <v>76</v>
      </c>
      <c r="AN9" s="33" t="s">
        <v>77</v>
      </c>
      <c r="AO9" s="33" t="s">
        <v>70</v>
      </c>
      <c r="AP9" s="35">
        <v>2.5</v>
      </c>
      <c r="AQ9" s="32"/>
      <c r="AR9" s="34">
        <v>0</v>
      </c>
      <c r="AS9" s="36">
        <v>1.1000000000000001</v>
      </c>
      <c r="AT9" s="36">
        <v>1</v>
      </c>
      <c r="AU9" s="36">
        <v>0.57999999999999996</v>
      </c>
      <c r="AV9" s="36">
        <v>0.55000000000000004</v>
      </c>
      <c r="AW9" s="35">
        <v>0.94</v>
      </c>
      <c r="AX9" s="33">
        <v>0.79</v>
      </c>
      <c r="AY9" s="33">
        <v>0.06</v>
      </c>
      <c r="AZ9" s="33">
        <v>3.2</v>
      </c>
      <c r="BA9" s="33">
        <v>1.2</v>
      </c>
      <c r="BB9" s="32" t="s">
        <v>64</v>
      </c>
      <c r="BC9" s="619">
        <f t="shared" si="3"/>
        <v>1.0093750000000001</v>
      </c>
      <c r="BD9" s="610">
        <f t="shared" si="4"/>
        <v>1.0333333333333334</v>
      </c>
      <c r="BF9" s="610" t="e">
        <f t="shared" si="5"/>
        <v>#VALUE!</v>
      </c>
      <c r="BG9" s="610">
        <f t="shared" si="6"/>
        <v>1.370967741935484E-3</v>
      </c>
      <c r="BH9" s="610">
        <f t="shared" si="7"/>
        <v>6.25E-2</v>
      </c>
      <c r="BI9" s="610">
        <f t="shared" si="8"/>
        <v>1.3913043478260871E-3</v>
      </c>
      <c r="BJ9" s="610">
        <f t="shared" si="9"/>
        <v>6.6666666666666666E-2</v>
      </c>
      <c r="BK9" s="610">
        <f t="shared" si="10"/>
        <v>1.1282051282051281E-3</v>
      </c>
      <c r="BL9" s="610">
        <f t="shared" si="11"/>
        <v>9.8765432098765426E-5</v>
      </c>
      <c r="BM9" s="610">
        <f t="shared" si="12"/>
        <v>3.3E-4</v>
      </c>
      <c r="BN9" s="563" t="e">
        <f t="shared" si="13"/>
        <v>#VALUE!</v>
      </c>
      <c r="BO9" s="563">
        <f t="shared" si="14"/>
        <v>69.614941574796646</v>
      </c>
      <c r="BP9" s="611" t="e">
        <f t="shared" si="15"/>
        <v>#VALUE!</v>
      </c>
      <c r="BR9" s="564">
        <f t="shared" si="16"/>
        <v>4.125</v>
      </c>
      <c r="BS9" s="564">
        <f t="shared" si="17"/>
        <v>0.10965000000000001</v>
      </c>
      <c r="BT9" s="564">
        <f t="shared" si="18"/>
        <v>0.08</v>
      </c>
      <c r="BU9" s="564">
        <f t="shared" si="19"/>
        <v>5.120000000000001</v>
      </c>
      <c r="BV9" s="564">
        <f t="shared" si="20"/>
        <v>1.2</v>
      </c>
      <c r="BW9" s="564">
        <f t="shared" si="21"/>
        <v>4.8707E-2</v>
      </c>
      <c r="BX9" s="564" t="e">
        <f t="shared" si="0"/>
        <v>#VALUE!</v>
      </c>
      <c r="BY9" s="564">
        <f t="shared" si="22"/>
        <v>3.5879999999999995E-2</v>
      </c>
      <c r="BZ9" s="564">
        <f t="shared" si="23"/>
        <v>1.67E-3</v>
      </c>
      <c r="CA9" s="564" t="e">
        <f t="shared" si="24"/>
        <v>#VALUE!</v>
      </c>
      <c r="CB9" s="611" t="e">
        <f t="shared" si="25"/>
        <v>#VALUE!</v>
      </c>
      <c r="CD9" s="610">
        <f t="shared" si="26"/>
        <v>0.72727272727272729</v>
      </c>
      <c r="CE9" s="610" t="e">
        <f t="shared" si="27"/>
        <v>#VALUE!</v>
      </c>
      <c r="CF9" s="610">
        <f t="shared" si="1"/>
        <v>0.3899999999999999</v>
      </c>
      <c r="CG9" s="610">
        <f t="shared" si="2"/>
        <v>0.85000000000000009</v>
      </c>
    </row>
    <row r="10" spans="2:85" ht="20.149999999999999" customHeight="1" x14ac:dyDescent="0.2">
      <c r="B10" s="31" t="s">
        <v>61</v>
      </c>
      <c r="C10" s="32" t="s">
        <v>82</v>
      </c>
      <c r="D10" s="33">
        <v>23</v>
      </c>
      <c r="E10" s="34" t="s">
        <v>63</v>
      </c>
      <c r="F10" s="35">
        <v>0.11</v>
      </c>
      <c r="G10" s="35">
        <v>5.4</v>
      </c>
      <c r="H10" s="36">
        <v>0.11</v>
      </c>
      <c r="I10" s="35">
        <v>1.9</v>
      </c>
      <c r="J10" s="35">
        <v>0.15</v>
      </c>
      <c r="K10" s="35">
        <v>1.2E-2</v>
      </c>
      <c r="L10" s="32">
        <v>1.4E-2</v>
      </c>
      <c r="M10" s="34">
        <v>90</v>
      </c>
      <c r="N10" s="35">
        <v>22</v>
      </c>
      <c r="O10" s="38" t="s">
        <v>64</v>
      </c>
      <c r="P10" s="35">
        <v>91</v>
      </c>
      <c r="Q10" s="35">
        <v>3.3</v>
      </c>
      <c r="R10" s="35" t="s">
        <v>65</v>
      </c>
      <c r="S10" s="35">
        <v>4.0999999999999996</v>
      </c>
      <c r="T10" s="35">
        <v>12</v>
      </c>
      <c r="U10" s="35">
        <v>1</v>
      </c>
      <c r="V10" s="35">
        <v>6.9</v>
      </c>
      <c r="W10" s="35">
        <v>98</v>
      </c>
      <c r="X10" s="35" t="s">
        <v>67</v>
      </c>
      <c r="Y10" s="35">
        <v>5</v>
      </c>
      <c r="Z10" s="35">
        <v>6.5</v>
      </c>
      <c r="AA10" s="35">
        <v>39</v>
      </c>
      <c r="AB10" s="35">
        <v>1.4</v>
      </c>
      <c r="AC10" s="35">
        <v>1.5</v>
      </c>
      <c r="AD10" s="35">
        <v>0.18</v>
      </c>
      <c r="AE10" s="35">
        <v>0.86</v>
      </c>
      <c r="AF10" s="35">
        <v>1.3</v>
      </c>
      <c r="AG10" s="35" t="s">
        <v>70</v>
      </c>
      <c r="AH10" s="35">
        <v>6.1</v>
      </c>
      <c r="AI10" s="35">
        <v>0.1</v>
      </c>
      <c r="AJ10" s="35">
        <v>0.16</v>
      </c>
      <c r="AK10" s="35" t="s">
        <v>74</v>
      </c>
      <c r="AL10" s="33" t="s">
        <v>75</v>
      </c>
      <c r="AM10" s="33">
        <v>0.33</v>
      </c>
      <c r="AN10" s="33" t="s">
        <v>77</v>
      </c>
      <c r="AO10" s="33" t="s">
        <v>70</v>
      </c>
      <c r="AP10" s="35">
        <v>13</v>
      </c>
      <c r="AQ10" s="32"/>
      <c r="AR10" s="34">
        <v>0.35</v>
      </c>
      <c r="AS10" s="36">
        <v>2.2999999999999998</v>
      </c>
      <c r="AT10" s="36">
        <v>2.2000000000000002</v>
      </c>
      <c r="AU10" s="36">
        <v>1.1000000000000001</v>
      </c>
      <c r="AV10" s="36">
        <v>1.5</v>
      </c>
      <c r="AW10" s="35">
        <v>2.6</v>
      </c>
      <c r="AX10" s="33">
        <v>0.55000000000000004</v>
      </c>
      <c r="AY10" s="33">
        <v>0.05</v>
      </c>
      <c r="AZ10" s="33">
        <v>7.5</v>
      </c>
      <c r="BA10" s="33">
        <v>1.7</v>
      </c>
      <c r="BB10" s="32" t="s">
        <v>64</v>
      </c>
      <c r="BC10" s="619">
        <f t="shared" si="3"/>
        <v>0.99333333333333329</v>
      </c>
      <c r="BD10" s="610">
        <f t="shared" si="4"/>
        <v>1.0000000000000002</v>
      </c>
      <c r="BF10" s="610" t="e">
        <f t="shared" si="5"/>
        <v>#VALUE!</v>
      </c>
      <c r="BG10" s="610">
        <f t="shared" si="6"/>
        <v>1.7741935483870969E-3</v>
      </c>
      <c r="BH10" s="610">
        <f t="shared" si="7"/>
        <v>0.1125</v>
      </c>
      <c r="BI10" s="610">
        <f t="shared" si="8"/>
        <v>4.7826086956521737E-3</v>
      </c>
      <c r="BJ10" s="610">
        <f t="shared" si="9"/>
        <v>0.10555555555555556</v>
      </c>
      <c r="BK10" s="610">
        <f t="shared" si="10"/>
        <v>3.8461538461538459E-3</v>
      </c>
      <c r="BL10" s="610">
        <f t="shared" si="11"/>
        <v>9.8765432098765434E-4</v>
      </c>
      <c r="BM10" s="610">
        <f t="shared" si="12"/>
        <v>6.9999999999999999E-4</v>
      </c>
      <c r="BN10" s="563" t="e">
        <f t="shared" si="13"/>
        <v>#VALUE!</v>
      </c>
      <c r="BO10" s="563">
        <f t="shared" si="14"/>
        <v>115.87197241834923</v>
      </c>
      <c r="BP10" s="611" t="e">
        <f t="shared" si="15"/>
        <v>#VALUE!</v>
      </c>
      <c r="BR10" s="564">
        <f t="shared" si="16"/>
        <v>7.4250000000000007</v>
      </c>
      <c r="BS10" s="564">
        <f t="shared" si="17"/>
        <v>0.1419</v>
      </c>
      <c r="BT10" s="564">
        <f t="shared" si="18"/>
        <v>0.27500000000000002</v>
      </c>
      <c r="BU10" s="564">
        <f t="shared" si="19"/>
        <v>12</v>
      </c>
      <c r="BV10" s="564">
        <f t="shared" si="20"/>
        <v>1.7</v>
      </c>
      <c r="BW10" s="564">
        <f t="shared" si="21"/>
        <v>0.20218</v>
      </c>
      <c r="BX10" s="564">
        <f t="shared" si="0"/>
        <v>4.62E-3</v>
      </c>
      <c r="BY10" s="564">
        <f t="shared" si="22"/>
        <v>0.13524</v>
      </c>
      <c r="BZ10" s="564">
        <f t="shared" si="23"/>
        <v>6.8469999999999989E-3</v>
      </c>
      <c r="CA10" s="564">
        <f t="shared" si="24"/>
        <v>21.890787</v>
      </c>
      <c r="CB10" s="611">
        <f t="shared" si="25"/>
        <v>0.95177334782608691</v>
      </c>
      <c r="CD10" s="610">
        <f t="shared" si="26"/>
        <v>0.81521739130434789</v>
      </c>
      <c r="CE10" s="610" t="e">
        <f t="shared" si="27"/>
        <v>#VALUE!</v>
      </c>
      <c r="CF10" s="610">
        <f t="shared" si="1"/>
        <v>1.1000000000000001</v>
      </c>
      <c r="CG10" s="610">
        <f t="shared" si="2"/>
        <v>0.60000000000000009</v>
      </c>
    </row>
    <row r="11" spans="2:85" ht="20.149999999999999" customHeight="1" thickBot="1" x14ac:dyDescent="0.25">
      <c r="B11" s="39" t="s">
        <v>61</v>
      </c>
      <c r="C11" s="40" t="s">
        <v>83</v>
      </c>
      <c r="D11" s="41">
        <v>28</v>
      </c>
      <c r="E11" s="42" t="s">
        <v>63</v>
      </c>
      <c r="F11" s="43">
        <v>0.11</v>
      </c>
      <c r="G11" s="43">
        <v>8.1</v>
      </c>
      <c r="H11" s="44">
        <v>0.19</v>
      </c>
      <c r="I11" s="43">
        <v>3.1</v>
      </c>
      <c r="J11" s="43">
        <v>0.26</v>
      </c>
      <c r="K11" s="43">
        <v>1.4E-2</v>
      </c>
      <c r="L11" s="45">
        <v>2.5000000000000001E-2</v>
      </c>
      <c r="M11" s="42">
        <v>140</v>
      </c>
      <c r="N11" s="43">
        <v>27</v>
      </c>
      <c r="O11" s="43" t="s">
        <v>64</v>
      </c>
      <c r="P11" s="43">
        <v>150</v>
      </c>
      <c r="Q11" s="43">
        <v>6.4</v>
      </c>
      <c r="R11" s="43" t="s">
        <v>65</v>
      </c>
      <c r="S11" s="43">
        <v>2.1</v>
      </c>
      <c r="T11" s="43">
        <v>7.6</v>
      </c>
      <c r="U11" s="43">
        <v>1.4</v>
      </c>
      <c r="V11" s="43">
        <v>8.3000000000000007</v>
      </c>
      <c r="W11" s="43">
        <v>140</v>
      </c>
      <c r="X11" s="43">
        <v>0.23</v>
      </c>
      <c r="Y11" s="43">
        <v>6.8</v>
      </c>
      <c r="Z11" s="43">
        <v>7.1</v>
      </c>
      <c r="AA11" s="43">
        <v>49</v>
      </c>
      <c r="AB11" s="43">
        <v>0.7</v>
      </c>
      <c r="AC11" s="43">
        <v>1.5</v>
      </c>
      <c r="AD11" s="43">
        <v>0.14000000000000001</v>
      </c>
      <c r="AE11" s="43">
        <v>2</v>
      </c>
      <c r="AF11" s="43">
        <v>1.5</v>
      </c>
      <c r="AG11" s="43" t="s">
        <v>70</v>
      </c>
      <c r="AH11" s="43">
        <v>9.6</v>
      </c>
      <c r="AI11" s="43">
        <v>0.12</v>
      </c>
      <c r="AJ11" s="43">
        <v>0.17</v>
      </c>
      <c r="AK11" s="43" t="s">
        <v>74</v>
      </c>
      <c r="AL11" s="41" t="s">
        <v>75</v>
      </c>
      <c r="AM11" s="41">
        <v>0.59</v>
      </c>
      <c r="AN11" s="41" t="s">
        <v>77</v>
      </c>
      <c r="AO11" s="41" t="s">
        <v>70</v>
      </c>
      <c r="AP11" s="43">
        <v>25</v>
      </c>
      <c r="AQ11" s="45"/>
      <c r="AR11" s="42">
        <v>0.26</v>
      </c>
      <c r="AS11" s="44">
        <v>2.5</v>
      </c>
      <c r="AT11" s="44">
        <v>1.7</v>
      </c>
      <c r="AU11" s="44">
        <v>1.3</v>
      </c>
      <c r="AV11" s="44">
        <v>1.7</v>
      </c>
      <c r="AW11" s="43">
        <v>2.7</v>
      </c>
      <c r="AX11" s="41">
        <v>0.56999999999999995</v>
      </c>
      <c r="AY11" s="41">
        <v>7.0000000000000007E-2</v>
      </c>
      <c r="AZ11" s="41">
        <v>7.5</v>
      </c>
      <c r="BA11" s="41">
        <v>1.6</v>
      </c>
      <c r="BB11" s="45" t="s">
        <v>64</v>
      </c>
      <c r="BC11" s="620">
        <f t="shared" si="3"/>
        <v>0.9946666666666667</v>
      </c>
      <c r="BD11" s="617">
        <f t="shared" si="4"/>
        <v>1.0249999999999999</v>
      </c>
      <c r="BE11" s="616"/>
      <c r="BF11" s="617" t="e">
        <f t="shared" si="5"/>
        <v>#VALUE!</v>
      </c>
      <c r="BG11" s="617">
        <f t="shared" si="6"/>
        <v>1.7741935483870969E-3</v>
      </c>
      <c r="BH11" s="617">
        <f t="shared" si="7"/>
        <v>0.16874999999999998</v>
      </c>
      <c r="BI11" s="617">
        <f t="shared" si="8"/>
        <v>8.2608695652173908E-3</v>
      </c>
      <c r="BJ11" s="617">
        <f t="shared" si="9"/>
        <v>0.17222222222222222</v>
      </c>
      <c r="BK11" s="617">
        <f t="shared" si="10"/>
        <v>6.6666666666666671E-3</v>
      </c>
      <c r="BL11" s="617">
        <f t="shared" si="11"/>
        <v>1.1522633744855968E-3</v>
      </c>
      <c r="BM11" s="617">
        <f t="shared" si="12"/>
        <v>1.25E-3</v>
      </c>
      <c r="BN11" s="621" t="e">
        <f t="shared" si="13"/>
        <v>#VALUE!</v>
      </c>
      <c r="BO11" s="621">
        <f t="shared" si="14"/>
        <v>189.55202182859185</v>
      </c>
      <c r="BP11" s="618" t="e">
        <f t="shared" si="15"/>
        <v>#VALUE!</v>
      </c>
      <c r="BQ11" s="616"/>
      <c r="BR11" s="615">
        <f t="shared" si="16"/>
        <v>11.137499999999999</v>
      </c>
      <c r="BS11" s="615">
        <f t="shared" si="17"/>
        <v>0.1419</v>
      </c>
      <c r="BT11" s="615">
        <f t="shared" si="18"/>
        <v>0.47499999999999998</v>
      </c>
      <c r="BU11" s="615">
        <f t="shared" si="19"/>
        <v>12</v>
      </c>
      <c r="BV11" s="615">
        <f t="shared" si="20"/>
        <v>1.6</v>
      </c>
      <c r="BW11" s="615">
        <f t="shared" si="21"/>
        <v>0.24813000000000002</v>
      </c>
      <c r="BX11" s="615">
        <f t="shared" si="0"/>
        <v>8.9599999999999992E-3</v>
      </c>
      <c r="BY11" s="615">
        <f t="shared" si="22"/>
        <v>0.19320000000000001</v>
      </c>
      <c r="BZ11" s="615">
        <f t="shared" si="23"/>
        <v>3.5070000000000006E-3</v>
      </c>
      <c r="CA11" s="615">
        <f t="shared" si="24"/>
        <v>25.808196999999996</v>
      </c>
      <c r="CB11" s="618">
        <f t="shared" si="25"/>
        <v>0.92172132142857133</v>
      </c>
      <c r="CC11" s="617"/>
      <c r="CD11" s="617">
        <f t="shared" si="26"/>
        <v>0.82417582417582425</v>
      </c>
      <c r="CE11" s="617" t="e">
        <f t="shared" si="27"/>
        <v>#VALUE!</v>
      </c>
      <c r="CF11" s="617">
        <f t="shared" si="1"/>
        <v>1.0000000000000002</v>
      </c>
      <c r="CG11" s="617">
        <f t="shared" si="2"/>
        <v>0.6399999999999999</v>
      </c>
    </row>
    <row r="12" spans="2:85" ht="20.149999999999999" customHeight="1" x14ac:dyDescent="0.2">
      <c r="B12" s="31" t="s">
        <v>84</v>
      </c>
      <c r="C12" s="46" t="s">
        <v>85</v>
      </c>
      <c r="D12" s="47">
        <v>23</v>
      </c>
      <c r="E12" s="630">
        <f t="shared" ref="E12:E18" si="28">0.5*0.046</f>
        <v>2.3E-2</v>
      </c>
      <c r="F12" s="49">
        <v>0.84</v>
      </c>
      <c r="G12" s="49">
        <v>7.6</v>
      </c>
      <c r="H12" s="50">
        <v>0.22</v>
      </c>
      <c r="I12" s="49">
        <v>2.9</v>
      </c>
      <c r="J12" s="49">
        <v>0.12</v>
      </c>
      <c r="K12" s="49">
        <v>1.4999999999999999E-2</v>
      </c>
      <c r="L12" s="37">
        <v>1.6E-2</v>
      </c>
      <c r="M12" s="48">
        <v>140</v>
      </c>
      <c r="N12" s="49">
        <v>23</v>
      </c>
      <c r="O12" s="51" t="s">
        <v>64</v>
      </c>
      <c r="P12" s="49">
        <v>130</v>
      </c>
      <c r="Q12" s="49">
        <v>4.9000000000000004</v>
      </c>
      <c r="R12" s="625">
        <f t="shared" ref="R12:R18" si="29">0.5*0.029</f>
        <v>1.4500000000000001E-2</v>
      </c>
      <c r="S12" s="49">
        <v>2</v>
      </c>
      <c r="T12" s="49">
        <v>6.3</v>
      </c>
      <c r="U12" s="49">
        <v>1.1000000000000001</v>
      </c>
      <c r="V12" s="49">
        <v>4.2</v>
      </c>
      <c r="W12" s="49">
        <v>83</v>
      </c>
      <c r="X12" s="625">
        <f t="shared" ref="X12:X18" si="30">0.5*0.11</f>
        <v>5.5E-2</v>
      </c>
      <c r="Y12" s="49">
        <v>2.7</v>
      </c>
      <c r="Z12" s="49">
        <v>6.1</v>
      </c>
      <c r="AA12" s="49">
        <v>42</v>
      </c>
      <c r="AB12" s="49">
        <v>0.57999999999999996</v>
      </c>
      <c r="AC12" s="49">
        <v>1.2</v>
      </c>
      <c r="AD12" s="625">
        <f>0.5*1.4</f>
        <v>0.7</v>
      </c>
      <c r="AE12" s="49">
        <v>1.4</v>
      </c>
      <c r="AF12" s="49">
        <v>1.4</v>
      </c>
      <c r="AG12" s="625">
        <f t="shared" ref="AG12:AG18" si="31">0.5*0.079</f>
        <v>3.95E-2</v>
      </c>
      <c r="AH12" s="49">
        <v>7.9</v>
      </c>
      <c r="AI12" s="49">
        <v>0.12</v>
      </c>
      <c r="AJ12" s="49">
        <v>9.8000000000000004E-2</v>
      </c>
      <c r="AK12" s="625">
        <f t="shared" ref="AK12:AK18" si="32">0.5*0.035</f>
        <v>1.7500000000000002E-2</v>
      </c>
      <c r="AL12" s="627">
        <f t="shared" ref="AL12:AL18" si="33">0.5*0.02</f>
        <v>0.01</v>
      </c>
      <c r="AM12" s="47">
        <v>0.49</v>
      </c>
      <c r="AN12" s="627">
        <f t="shared" ref="AN12:AN18" si="34">0.5*0.028</f>
        <v>1.4E-2</v>
      </c>
      <c r="AO12" s="627">
        <f t="shared" ref="AO12:AO18" si="35">0.5*0.079</f>
        <v>3.95E-2</v>
      </c>
      <c r="AP12" s="49">
        <v>11</v>
      </c>
      <c r="AQ12" s="37"/>
      <c r="AR12" s="48">
        <v>0.13</v>
      </c>
      <c r="AS12" s="50">
        <v>1.6</v>
      </c>
      <c r="AT12" s="50">
        <v>1.2</v>
      </c>
      <c r="AU12" s="50">
        <v>0.79</v>
      </c>
      <c r="AV12" s="50">
        <v>1.3</v>
      </c>
      <c r="AW12" s="49">
        <v>2.1</v>
      </c>
      <c r="AX12" s="47">
        <v>0.81</v>
      </c>
      <c r="AY12" s="47">
        <v>0.05</v>
      </c>
      <c r="AZ12" s="47">
        <v>5</v>
      </c>
      <c r="BA12" s="47">
        <v>1.7</v>
      </c>
      <c r="BB12" s="46" t="s">
        <v>64</v>
      </c>
      <c r="BC12" s="619">
        <f t="shared" si="3"/>
        <v>1.004</v>
      </c>
      <c r="BD12" s="610">
        <f t="shared" si="4"/>
        <v>0.97647058823529409</v>
      </c>
      <c r="BF12" s="610">
        <f t="shared" si="5"/>
        <v>6.4788732394366192E-4</v>
      </c>
      <c r="BG12" s="610">
        <f t="shared" si="6"/>
        <v>1.3548387096774193E-2</v>
      </c>
      <c r="BH12" s="610">
        <f t="shared" si="7"/>
        <v>0.15833333333333333</v>
      </c>
      <c r="BI12" s="610">
        <f t="shared" si="8"/>
        <v>9.5652173913043474E-3</v>
      </c>
      <c r="BJ12" s="610">
        <f t="shared" si="9"/>
        <v>0.16111111111111109</v>
      </c>
      <c r="BK12" s="610">
        <f t="shared" si="10"/>
        <v>3.0769230769230769E-3</v>
      </c>
      <c r="BL12" s="610">
        <f t="shared" si="11"/>
        <v>1.2345679012345679E-3</v>
      </c>
      <c r="BM12" s="610">
        <f t="shared" si="12"/>
        <v>8.0000000000000004E-4</v>
      </c>
      <c r="BN12" s="563">
        <f t="shared" si="13"/>
        <v>172.52960775405117</v>
      </c>
      <c r="BO12" s="563">
        <f t="shared" si="14"/>
        <v>175.78781948057309</v>
      </c>
      <c r="BP12" s="611">
        <f t="shared" si="15"/>
        <v>0.98146508821743483</v>
      </c>
      <c r="BR12" s="564">
        <f t="shared" si="16"/>
        <v>10.45</v>
      </c>
      <c r="BS12" s="564">
        <f t="shared" si="17"/>
        <v>1.0835999999999999</v>
      </c>
      <c r="BT12" s="564">
        <f t="shared" si="18"/>
        <v>0.55000000000000004</v>
      </c>
      <c r="BU12" s="564">
        <f t="shared" si="19"/>
        <v>8</v>
      </c>
      <c r="BV12" s="564">
        <f t="shared" si="20"/>
        <v>1.7</v>
      </c>
      <c r="BW12" s="564">
        <f t="shared" si="21"/>
        <v>0.21137</v>
      </c>
      <c r="BX12" s="564">
        <f t="shared" si="0"/>
        <v>6.8600000000000006E-3</v>
      </c>
      <c r="BY12" s="564">
        <f t="shared" si="22"/>
        <v>0.11454</v>
      </c>
      <c r="BZ12" s="564">
        <f t="shared" si="23"/>
        <v>3.3400000000000001E-3</v>
      </c>
      <c r="CA12" s="564">
        <f t="shared" si="24"/>
        <v>22.119710000000001</v>
      </c>
      <c r="CB12" s="611">
        <f t="shared" si="25"/>
        <v>0.96172652173913054</v>
      </c>
      <c r="CC12" s="610"/>
      <c r="CD12" s="610">
        <f t="shared" si="26"/>
        <v>0.74626865671641784</v>
      </c>
      <c r="CE12" s="610" t="e">
        <f t="shared" si="27"/>
        <v>#VALUE!</v>
      </c>
      <c r="CF12" s="610">
        <f t="shared" si="1"/>
        <v>0.8</v>
      </c>
      <c r="CG12" s="610">
        <f t="shared" si="2"/>
        <v>0.8600000000000001</v>
      </c>
    </row>
    <row r="13" spans="2:85" ht="20.149999999999999" customHeight="1" x14ac:dyDescent="0.2">
      <c r="B13" s="31" t="s">
        <v>84</v>
      </c>
      <c r="C13" s="40" t="s">
        <v>86</v>
      </c>
      <c r="D13" s="33">
        <v>26</v>
      </c>
      <c r="E13" s="623">
        <f t="shared" si="28"/>
        <v>2.3E-2</v>
      </c>
      <c r="F13" s="35">
        <v>0.17</v>
      </c>
      <c r="G13" s="35">
        <v>9.3000000000000007</v>
      </c>
      <c r="H13" s="36">
        <v>0.09</v>
      </c>
      <c r="I13" s="35">
        <v>3.3</v>
      </c>
      <c r="J13" s="35">
        <v>7.8E-2</v>
      </c>
      <c r="K13" s="35">
        <v>5.7999999999999996E-3</v>
      </c>
      <c r="L13" s="32">
        <v>1.4E-2</v>
      </c>
      <c r="M13" s="34">
        <v>180</v>
      </c>
      <c r="N13" s="35">
        <v>14</v>
      </c>
      <c r="O13" s="49" t="s">
        <v>64</v>
      </c>
      <c r="P13" s="35">
        <v>65</v>
      </c>
      <c r="Q13" s="35">
        <v>4</v>
      </c>
      <c r="R13" s="624">
        <f t="shared" si="29"/>
        <v>1.4500000000000001E-2</v>
      </c>
      <c r="S13" s="35">
        <v>1.6</v>
      </c>
      <c r="T13" s="35">
        <v>5.6</v>
      </c>
      <c r="U13" s="35">
        <v>0.69</v>
      </c>
      <c r="V13" s="35">
        <v>4.2</v>
      </c>
      <c r="W13" s="35">
        <v>73</v>
      </c>
      <c r="X13" s="624">
        <f t="shared" si="30"/>
        <v>5.5E-2</v>
      </c>
      <c r="Y13" s="35">
        <v>2.1</v>
      </c>
      <c r="Z13" s="35">
        <v>3.7</v>
      </c>
      <c r="AA13" s="35">
        <v>43</v>
      </c>
      <c r="AB13" s="35">
        <v>0.25</v>
      </c>
      <c r="AC13" s="35">
        <v>0.47</v>
      </c>
      <c r="AD13" s="624">
        <f>0.5*1.4</f>
        <v>0.7</v>
      </c>
      <c r="AE13" s="35">
        <v>0.97</v>
      </c>
      <c r="AF13" s="35">
        <v>0.75</v>
      </c>
      <c r="AG13" s="624">
        <f t="shared" si="31"/>
        <v>3.95E-2</v>
      </c>
      <c r="AH13" s="35">
        <v>2.8</v>
      </c>
      <c r="AI13" s="35">
        <v>6.8000000000000005E-2</v>
      </c>
      <c r="AJ13" s="35">
        <v>0.11</v>
      </c>
      <c r="AK13" s="624">
        <f t="shared" si="32"/>
        <v>1.7500000000000002E-2</v>
      </c>
      <c r="AL13" s="628">
        <f t="shared" si="33"/>
        <v>0.01</v>
      </c>
      <c r="AM13" s="33">
        <v>0.2</v>
      </c>
      <c r="AN13" s="628">
        <f t="shared" si="34"/>
        <v>1.4E-2</v>
      </c>
      <c r="AO13" s="628">
        <f t="shared" si="35"/>
        <v>3.95E-2</v>
      </c>
      <c r="AP13" s="35">
        <v>7.5</v>
      </c>
      <c r="AQ13" s="32"/>
      <c r="AR13" s="34">
        <v>0</v>
      </c>
      <c r="AS13" s="36">
        <v>1.8</v>
      </c>
      <c r="AT13" s="36">
        <v>1.1000000000000001</v>
      </c>
      <c r="AU13" s="36">
        <v>0.79</v>
      </c>
      <c r="AV13" s="36">
        <v>1.4</v>
      </c>
      <c r="AW13" s="35">
        <v>1.9</v>
      </c>
      <c r="AX13" s="33">
        <v>1.1000000000000001</v>
      </c>
      <c r="AY13" s="33">
        <v>6.5000000000000002E-2</v>
      </c>
      <c r="AZ13" s="33">
        <v>5.0999999999999996</v>
      </c>
      <c r="BA13" s="33">
        <v>1.7</v>
      </c>
      <c r="BB13" s="37" t="s">
        <v>64</v>
      </c>
      <c r="BC13" s="619">
        <f t="shared" si="3"/>
        <v>0.99803921568627452</v>
      </c>
      <c r="BD13" s="610">
        <f t="shared" si="4"/>
        <v>0.97941176470588243</v>
      </c>
      <c r="BF13" s="610">
        <f t="shared" si="5"/>
        <v>6.4788732394366192E-4</v>
      </c>
      <c r="BG13" s="610">
        <f t="shared" si="6"/>
        <v>2.7419354838709681E-3</v>
      </c>
      <c r="BH13" s="610">
        <f t="shared" si="7"/>
        <v>0.19375000000000001</v>
      </c>
      <c r="BI13" s="610">
        <f t="shared" si="8"/>
        <v>3.913043478260869E-3</v>
      </c>
      <c r="BJ13" s="610">
        <f t="shared" si="9"/>
        <v>0.18333333333333332</v>
      </c>
      <c r="BK13" s="610">
        <f t="shared" si="10"/>
        <v>2E-3</v>
      </c>
      <c r="BL13" s="610">
        <f t="shared" si="11"/>
        <v>4.7736625514403286E-4</v>
      </c>
      <c r="BM13" s="610">
        <f t="shared" si="12"/>
        <v>6.9999999999999999E-4</v>
      </c>
      <c r="BN13" s="563">
        <f t="shared" si="13"/>
        <v>197.13982280781465</v>
      </c>
      <c r="BO13" s="563">
        <f t="shared" si="14"/>
        <v>190.42374306673824</v>
      </c>
      <c r="BP13" s="611">
        <f t="shared" si="15"/>
        <v>1.0352691299567756</v>
      </c>
      <c r="BR13" s="564">
        <f t="shared" si="16"/>
        <v>12.787500000000001</v>
      </c>
      <c r="BS13" s="564">
        <f t="shared" si="17"/>
        <v>0.21930000000000002</v>
      </c>
      <c r="BT13" s="564">
        <f t="shared" si="18"/>
        <v>0.22499999999999998</v>
      </c>
      <c r="BU13" s="564">
        <f t="shared" si="19"/>
        <v>8.16</v>
      </c>
      <c r="BV13" s="564">
        <f t="shared" si="20"/>
        <v>1.7</v>
      </c>
      <c r="BW13" s="564">
        <f t="shared" si="21"/>
        <v>0.12866</v>
      </c>
      <c r="BX13" s="564">
        <f t="shared" si="0"/>
        <v>5.5999999999999999E-3</v>
      </c>
      <c r="BY13" s="564">
        <f t="shared" si="22"/>
        <v>0.10073999999999998</v>
      </c>
      <c r="BZ13" s="564">
        <f t="shared" si="23"/>
        <v>2.6719999999999999E-3</v>
      </c>
      <c r="CA13" s="564">
        <f t="shared" si="24"/>
        <v>23.329472000000003</v>
      </c>
      <c r="CB13" s="611">
        <f t="shared" si="25"/>
        <v>0.89728738461538471</v>
      </c>
      <c r="CC13" s="610"/>
      <c r="CD13" s="610">
        <f t="shared" si="26"/>
        <v>0.75</v>
      </c>
      <c r="CE13" s="610" t="e">
        <f t="shared" si="27"/>
        <v>#VALUE!</v>
      </c>
      <c r="CF13" s="610">
        <f t="shared" ref="CF13:CF20" si="36">IF(AW13-AV13&gt;0,AW13-AV13,0)</f>
        <v>0.5</v>
      </c>
      <c r="CG13" s="610">
        <f t="shared" ref="CG13:CG20" si="37">IF(AW13-AV13&gt;0,AX13+AY13,AW13+AX13+AY13-AV13)</f>
        <v>1.165</v>
      </c>
    </row>
    <row r="14" spans="2:85" ht="20.149999999999999" customHeight="1" x14ac:dyDescent="0.2">
      <c r="B14" s="31" t="s">
        <v>84</v>
      </c>
      <c r="C14" s="32" t="s">
        <v>87</v>
      </c>
      <c r="D14" s="33">
        <v>20</v>
      </c>
      <c r="E14" s="623">
        <f t="shared" si="28"/>
        <v>2.3E-2</v>
      </c>
      <c r="F14" s="35">
        <v>0.11</v>
      </c>
      <c r="G14" s="35">
        <v>7.3</v>
      </c>
      <c r="H14" s="36">
        <v>0.12</v>
      </c>
      <c r="I14" s="35">
        <v>2.7</v>
      </c>
      <c r="J14" s="35">
        <v>9.1999999999999998E-2</v>
      </c>
      <c r="K14" s="35">
        <v>7.4999999999999997E-3</v>
      </c>
      <c r="L14" s="32">
        <v>1.6E-2</v>
      </c>
      <c r="M14" s="34">
        <v>78</v>
      </c>
      <c r="N14" s="35">
        <v>14</v>
      </c>
      <c r="O14" s="49" t="s">
        <v>64</v>
      </c>
      <c r="P14" s="35">
        <v>38</v>
      </c>
      <c r="Q14" s="624">
        <f>0.5*2.1</f>
        <v>1.05</v>
      </c>
      <c r="R14" s="624">
        <f t="shared" si="29"/>
        <v>1.4500000000000001E-2</v>
      </c>
      <c r="S14" s="35">
        <v>1.6</v>
      </c>
      <c r="T14" s="35">
        <v>3.5</v>
      </c>
      <c r="U14" s="35">
        <v>0.89</v>
      </c>
      <c r="V14" s="35">
        <v>4.0999999999999996</v>
      </c>
      <c r="W14" s="35">
        <v>79</v>
      </c>
      <c r="X14" s="624">
        <f t="shared" si="30"/>
        <v>5.5E-2</v>
      </c>
      <c r="Y14" s="35">
        <v>1.5</v>
      </c>
      <c r="Z14" s="35">
        <v>3.8</v>
      </c>
      <c r="AA14" s="35">
        <v>28</v>
      </c>
      <c r="AB14" s="35">
        <v>1.1000000000000001</v>
      </c>
      <c r="AC14" s="35">
        <v>0.98</v>
      </c>
      <c r="AD14" s="624">
        <f>0.5*1.4</f>
        <v>0.7</v>
      </c>
      <c r="AE14" s="35">
        <v>1.1000000000000001</v>
      </c>
      <c r="AF14" s="35">
        <v>1</v>
      </c>
      <c r="AG14" s="624">
        <f t="shared" si="31"/>
        <v>3.95E-2</v>
      </c>
      <c r="AH14" s="624">
        <f>0.5*2.3</f>
        <v>1.1499999999999999</v>
      </c>
      <c r="AI14" s="35">
        <v>6.9000000000000006E-2</v>
      </c>
      <c r="AJ14" s="35">
        <v>6.4000000000000001E-2</v>
      </c>
      <c r="AK14" s="624">
        <f t="shared" si="32"/>
        <v>1.7500000000000002E-2</v>
      </c>
      <c r="AL14" s="628">
        <f t="shared" si="33"/>
        <v>0.01</v>
      </c>
      <c r="AM14" s="33">
        <v>0.26</v>
      </c>
      <c r="AN14" s="628">
        <f t="shared" si="34"/>
        <v>1.4E-2</v>
      </c>
      <c r="AO14" s="628">
        <f t="shared" si="35"/>
        <v>3.95E-2</v>
      </c>
      <c r="AP14" s="35">
        <v>6.7</v>
      </c>
      <c r="AQ14" s="32"/>
      <c r="AR14" s="34">
        <v>0</v>
      </c>
      <c r="AS14" s="36">
        <v>1.2</v>
      </c>
      <c r="AT14" s="36">
        <v>0.86</v>
      </c>
      <c r="AU14" s="36">
        <v>0.59</v>
      </c>
      <c r="AV14" s="36">
        <v>1.1000000000000001</v>
      </c>
      <c r="AW14" s="35">
        <v>1.4</v>
      </c>
      <c r="AX14" s="33">
        <v>1</v>
      </c>
      <c r="AY14" s="33">
        <v>7.0000000000000007E-2</v>
      </c>
      <c r="AZ14" s="33">
        <v>3.8</v>
      </c>
      <c r="BA14" s="33">
        <v>1.4</v>
      </c>
      <c r="BB14" s="37" t="s">
        <v>64</v>
      </c>
      <c r="BC14" s="619">
        <f t="shared" si="3"/>
        <v>0.98684210526315796</v>
      </c>
      <c r="BD14" s="610">
        <f t="shared" si="4"/>
        <v>0.97857142857142843</v>
      </c>
      <c r="BF14" s="610">
        <f t="shared" si="5"/>
        <v>6.4788732394366192E-4</v>
      </c>
      <c r="BG14" s="610">
        <f t="shared" si="6"/>
        <v>1.7741935483870969E-3</v>
      </c>
      <c r="BH14" s="610">
        <f t="shared" si="7"/>
        <v>0.15208333333333332</v>
      </c>
      <c r="BI14" s="610">
        <f t="shared" si="8"/>
        <v>5.2173913043478256E-3</v>
      </c>
      <c r="BJ14" s="610">
        <f t="shared" si="9"/>
        <v>0.15000000000000002</v>
      </c>
      <c r="BK14" s="610">
        <f t="shared" si="10"/>
        <v>2.3589743589743591E-3</v>
      </c>
      <c r="BL14" s="610">
        <f t="shared" si="11"/>
        <v>6.1728395061728394E-4</v>
      </c>
      <c r="BM14" s="610">
        <f t="shared" si="12"/>
        <v>8.0000000000000004E-4</v>
      </c>
      <c r="BN14" s="563">
        <f t="shared" si="13"/>
        <v>154.50541420566407</v>
      </c>
      <c r="BO14" s="563">
        <f t="shared" si="14"/>
        <v>158.99364961393948</v>
      </c>
      <c r="BP14" s="611">
        <f t="shared" si="15"/>
        <v>0.97177097689641367</v>
      </c>
      <c r="BR14" s="564">
        <f t="shared" si="16"/>
        <v>10.0375</v>
      </c>
      <c r="BS14" s="564">
        <f t="shared" si="17"/>
        <v>0.1419</v>
      </c>
      <c r="BT14" s="564">
        <f t="shared" si="18"/>
        <v>0.3</v>
      </c>
      <c r="BU14" s="564">
        <f t="shared" si="19"/>
        <v>6.08</v>
      </c>
      <c r="BV14" s="564">
        <f t="shared" si="20"/>
        <v>1.4</v>
      </c>
      <c r="BW14" s="564">
        <f t="shared" si="21"/>
        <v>0.12866</v>
      </c>
      <c r="BX14" s="564">
        <f t="shared" si="0"/>
        <v>1.4700000000000002E-3</v>
      </c>
      <c r="BY14" s="564">
        <f t="shared" si="22"/>
        <v>0.10901999999999999</v>
      </c>
      <c r="BZ14" s="564">
        <f t="shared" si="23"/>
        <v>2.6719999999999999E-3</v>
      </c>
      <c r="CA14" s="564">
        <f t="shared" si="24"/>
        <v>18.201222000000001</v>
      </c>
      <c r="CB14" s="611">
        <f t="shared" si="25"/>
        <v>0.91006110000000007</v>
      </c>
      <c r="CC14" s="610"/>
      <c r="CD14" s="610">
        <f t="shared" si="26"/>
        <v>0.73076923076923084</v>
      </c>
      <c r="CE14" s="610" t="e">
        <f t="shared" si="27"/>
        <v>#VALUE!</v>
      </c>
      <c r="CF14" s="610">
        <f t="shared" si="36"/>
        <v>0.29999999999999982</v>
      </c>
      <c r="CG14" s="610">
        <f t="shared" si="37"/>
        <v>1.07</v>
      </c>
    </row>
    <row r="15" spans="2:85" ht="20.149999999999999" customHeight="1" x14ac:dyDescent="0.2">
      <c r="B15" s="31" t="s">
        <v>84</v>
      </c>
      <c r="C15" s="32" t="s">
        <v>88</v>
      </c>
      <c r="D15" s="33">
        <v>22</v>
      </c>
      <c r="E15" s="623">
        <f t="shared" si="28"/>
        <v>2.3E-2</v>
      </c>
      <c r="F15" s="35">
        <v>0.17</v>
      </c>
      <c r="G15" s="35">
        <v>7.9</v>
      </c>
      <c r="H15" s="36">
        <v>0.09</v>
      </c>
      <c r="I15" s="35">
        <v>3</v>
      </c>
      <c r="J15" s="35">
        <v>0.12</v>
      </c>
      <c r="K15" s="35">
        <v>9.7999999999999997E-3</v>
      </c>
      <c r="L15" s="32">
        <v>1.6E-2</v>
      </c>
      <c r="M15" s="34">
        <v>110</v>
      </c>
      <c r="N15" s="35">
        <v>16</v>
      </c>
      <c r="O15" s="49" t="s">
        <v>64</v>
      </c>
      <c r="P15" s="35">
        <v>53</v>
      </c>
      <c r="Q15" s="35">
        <v>4.2</v>
      </c>
      <c r="R15" s="624">
        <f t="shared" si="29"/>
        <v>1.4500000000000001E-2</v>
      </c>
      <c r="S15" s="35">
        <v>1.9</v>
      </c>
      <c r="T15" s="35">
        <v>3.6</v>
      </c>
      <c r="U15" s="35">
        <v>1.1000000000000001</v>
      </c>
      <c r="V15" s="35">
        <v>4.4000000000000004</v>
      </c>
      <c r="W15" s="35">
        <v>68</v>
      </c>
      <c r="X15" s="624">
        <f t="shared" si="30"/>
        <v>5.5E-2</v>
      </c>
      <c r="Y15" s="35">
        <v>1.7</v>
      </c>
      <c r="Z15" s="35">
        <v>3.6</v>
      </c>
      <c r="AA15" s="35">
        <v>34</v>
      </c>
      <c r="AB15" s="35">
        <v>0.72</v>
      </c>
      <c r="AC15" s="35">
        <v>1.2</v>
      </c>
      <c r="AD15" s="624">
        <f>0.5*1.4</f>
        <v>0.7</v>
      </c>
      <c r="AE15" s="35">
        <v>1.1000000000000001</v>
      </c>
      <c r="AF15" s="35">
        <v>1.1000000000000001</v>
      </c>
      <c r="AG15" s="624">
        <f t="shared" si="31"/>
        <v>3.95E-2</v>
      </c>
      <c r="AH15" s="35">
        <v>2.2999999999999998</v>
      </c>
      <c r="AI15" s="35">
        <v>7.8E-2</v>
      </c>
      <c r="AJ15" s="35">
        <v>0.08</v>
      </c>
      <c r="AK15" s="624">
        <f t="shared" si="32"/>
        <v>1.7500000000000002E-2</v>
      </c>
      <c r="AL15" s="628">
        <f t="shared" si="33"/>
        <v>0.01</v>
      </c>
      <c r="AM15" s="33">
        <v>0.22</v>
      </c>
      <c r="AN15" s="628">
        <f t="shared" si="34"/>
        <v>1.4E-2</v>
      </c>
      <c r="AO15" s="628">
        <f t="shared" si="35"/>
        <v>3.95E-2</v>
      </c>
      <c r="AP15" s="35">
        <v>7.7</v>
      </c>
      <c r="AQ15" s="32"/>
      <c r="AR15" s="34">
        <v>0</v>
      </c>
      <c r="AS15" s="36">
        <v>1.6</v>
      </c>
      <c r="AT15" s="36">
        <v>0.98</v>
      </c>
      <c r="AU15" s="36">
        <v>0.64</v>
      </c>
      <c r="AV15" s="36">
        <v>1</v>
      </c>
      <c r="AW15" s="35">
        <v>1.9</v>
      </c>
      <c r="AX15" s="33">
        <v>0.96</v>
      </c>
      <c r="AY15" s="33">
        <v>0.06</v>
      </c>
      <c r="AZ15" s="33">
        <v>4.2</v>
      </c>
      <c r="BA15" s="33">
        <v>1.9</v>
      </c>
      <c r="BB15" s="37" t="s">
        <v>64</v>
      </c>
      <c r="BC15" s="619">
        <f t="shared" si="3"/>
        <v>1.004761904761905</v>
      </c>
      <c r="BD15" s="610">
        <f t="shared" si="4"/>
        <v>1.0105263157894737</v>
      </c>
      <c r="BF15" s="610">
        <f t="shared" si="5"/>
        <v>6.4788732394366192E-4</v>
      </c>
      <c r="BG15" s="610">
        <f t="shared" si="6"/>
        <v>2.7419354838709681E-3</v>
      </c>
      <c r="BH15" s="610">
        <f t="shared" si="7"/>
        <v>0.16458333333333333</v>
      </c>
      <c r="BI15" s="610">
        <f t="shared" si="8"/>
        <v>3.913043478260869E-3</v>
      </c>
      <c r="BJ15" s="610">
        <f t="shared" si="9"/>
        <v>0.16666666666666666</v>
      </c>
      <c r="BK15" s="610">
        <f t="shared" si="10"/>
        <v>3.0769230769230769E-3</v>
      </c>
      <c r="BL15" s="610">
        <f t="shared" si="11"/>
        <v>8.0658436213991761E-4</v>
      </c>
      <c r="BM15" s="610">
        <f t="shared" si="12"/>
        <v>8.0000000000000004E-4</v>
      </c>
      <c r="BN15" s="563">
        <f t="shared" si="13"/>
        <v>167.97315614114797</v>
      </c>
      <c r="BO15" s="563">
        <f t="shared" si="14"/>
        <v>175.26321758399055</v>
      </c>
      <c r="BP15" s="611">
        <f t="shared" si="15"/>
        <v>0.95840506899658506</v>
      </c>
      <c r="BR15" s="564">
        <f t="shared" si="16"/>
        <v>10.862500000000001</v>
      </c>
      <c r="BS15" s="564">
        <f t="shared" si="17"/>
        <v>0.21930000000000002</v>
      </c>
      <c r="BT15" s="564">
        <f t="shared" si="18"/>
        <v>0.22499999999999998</v>
      </c>
      <c r="BU15" s="564">
        <f t="shared" si="19"/>
        <v>6.7200000000000006</v>
      </c>
      <c r="BV15" s="564">
        <f t="shared" si="20"/>
        <v>1.9</v>
      </c>
      <c r="BW15" s="564">
        <f t="shared" si="21"/>
        <v>0.14704</v>
      </c>
      <c r="BX15" s="564">
        <f t="shared" si="0"/>
        <v>5.8800000000000007E-3</v>
      </c>
      <c r="BY15" s="564">
        <f t="shared" si="22"/>
        <v>9.3839999999999993E-2</v>
      </c>
      <c r="BZ15" s="564">
        <f t="shared" si="23"/>
        <v>3.173E-3</v>
      </c>
      <c r="CA15" s="564">
        <f t="shared" si="24"/>
        <v>20.176733000000002</v>
      </c>
      <c r="CB15" s="611">
        <f t="shared" si="25"/>
        <v>0.91712422727272735</v>
      </c>
      <c r="CC15" s="610"/>
      <c r="CD15" s="610">
        <f t="shared" si="26"/>
        <v>0.68852459016393452</v>
      </c>
      <c r="CE15" s="610" t="e">
        <f t="shared" si="27"/>
        <v>#VALUE!</v>
      </c>
      <c r="CF15" s="610">
        <f t="shared" si="36"/>
        <v>0.89999999999999991</v>
      </c>
      <c r="CG15" s="610">
        <f t="shared" si="37"/>
        <v>1.02</v>
      </c>
    </row>
    <row r="16" spans="2:85" ht="20.149999999999999" customHeight="1" x14ac:dyDescent="0.2">
      <c r="B16" s="31" t="s">
        <v>84</v>
      </c>
      <c r="C16" s="32" t="s">
        <v>89</v>
      </c>
      <c r="D16" s="33">
        <v>31</v>
      </c>
      <c r="E16" s="623">
        <f t="shared" si="28"/>
        <v>2.3E-2</v>
      </c>
      <c r="F16" s="35">
        <v>0.2</v>
      </c>
      <c r="G16" s="35">
        <v>14</v>
      </c>
      <c r="H16" s="36">
        <v>7.9000000000000001E-2</v>
      </c>
      <c r="I16" s="35">
        <v>5.3</v>
      </c>
      <c r="J16" s="35">
        <v>0.14000000000000001</v>
      </c>
      <c r="K16" s="35">
        <v>7.1000000000000004E-3</v>
      </c>
      <c r="L16" s="32">
        <v>1.7000000000000001E-2</v>
      </c>
      <c r="M16" s="34">
        <v>79</v>
      </c>
      <c r="N16" s="35">
        <v>19</v>
      </c>
      <c r="O16" s="49" t="s">
        <v>64</v>
      </c>
      <c r="P16" s="35">
        <v>73</v>
      </c>
      <c r="Q16" s="35">
        <v>4.7</v>
      </c>
      <c r="R16" s="624">
        <f t="shared" si="29"/>
        <v>1.4500000000000001E-2</v>
      </c>
      <c r="S16" s="35">
        <v>2.5</v>
      </c>
      <c r="T16" s="35">
        <v>3.9</v>
      </c>
      <c r="U16" s="35">
        <v>0.87</v>
      </c>
      <c r="V16" s="35">
        <v>6.2</v>
      </c>
      <c r="W16" s="35">
        <v>92</v>
      </c>
      <c r="X16" s="624">
        <f t="shared" si="30"/>
        <v>5.5E-2</v>
      </c>
      <c r="Y16" s="35">
        <v>1.7</v>
      </c>
      <c r="Z16" s="35">
        <v>4.0999999999999996</v>
      </c>
      <c r="AA16" s="35">
        <v>38</v>
      </c>
      <c r="AB16" s="35">
        <v>0.7</v>
      </c>
      <c r="AC16" s="35">
        <v>0.9</v>
      </c>
      <c r="AD16" s="624">
        <f>0.5*1.4</f>
        <v>0.7</v>
      </c>
      <c r="AE16" s="35">
        <v>3.4</v>
      </c>
      <c r="AF16" s="35">
        <v>1.4</v>
      </c>
      <c r="AG16" s="624">
        <f t="shared" si="31"/>
        <v>3.95E-2</v>
      </c>
      <c r="AH16" s="35">
        <v>4</v>
      </c>
      <c r="AI16" s="35">
        <v>9.4E-2</v>
      </c>
      <c r="AJ16" s="35">
        <v>0.14000000000000001</v>
      </c>
      <c r="AK16" s="624">
        <f t="shared" si="32"/>
        <v>1.7500000000000002E-2</v>
      </c>
      <c r="AL16" s="628">
        <f t="shared" si="33"/>
        <v>0.01</v>
      </c>
      <c r="AM16" s="33">
        <v>0.15</v>
      </c>
      <c r="AN16" s="628">
        <f t="shared" si="34"/>
        <v>1.4E-2</v>
      </c>
      <c r="AO16" s="628">
        <f t="shared" si="35"/>
        <v>3.95E-2</v>
      </c>
      <c r="AP16" s="35">
        <v>8.3000000000000007</v>
      </c>
      <c r="AQ16" s="32"/>
      <c r="AR16" s="34">
        <v>0</v>
      </c>
      <c r="AS16" s="36">
        <v>1.6</v>
      </c>
      <c r="AT16" s="36">
        <v>0.68</v>
      </c>
      <c r="AU16" s="36">
        <v>0.62</v>
      </c>
      <c r="AV16" s="36">
        <v>1.1000000000000001</v>
      </c>
      <c r="AW16" s="35">
        <v>2</v>
      </c>
      <c r="AX16" s="33">
        <v>0.83</v>
      </c>
      <c r="AY16" s="33">
        <v>3.5000000000000003E-2</v>
      </c>
      <c r="AZ16" s="33">
        <v>4</v>
      </c>
      <c r="BA16" s="33">
        <v>1.8</v>
      </c>
      <c r="BB16" s="37" t="s">
        <v>64</v>
      </c>
      <c r="BC16" s="619">
        <f t="shared" si="3"/>
        <v>1</v>
      </c>
      <c r="BD16" s="610">
        <f t="shared" si="4"/>
        <v>0.98055555555555562</v>
      </c>
      <c r="BF16" s="610">
        <f t="shared" si="5"/>
        <v>6.4788732394366192E-4</v>
      </c>
      <c r="BG16" s="610">
        <f t="shared" si="6"/>
        <v>3.2258064516129032E-3</v>
      </c>
      <c r="BH16" s="610">
        <f t="shared" si="7"/>
        <v>0.29166666666666669</v>
      </c>
      <c r="BI16" s="610">
        <f t="shared" si="8"/>
        <v>3.4347826086956524E-3</v>
      </c>
      <c r="BJ16" s="610">
        <f t="shared" si="9"/>
        <v>0.29444444444444445</v>
      </c>
      <c r="BK16" s="610">
        <f t="shared" si="10"/>
        <v>3.5897435897435902E-3</v>
      </c>
      <c r="BL16" s="610">
        <f t="shared" si="11"/>
        <v>5.8436213991769554E-4</v>
      </c>
      <c r="BM16" s="610">
        <f t="shared" si="12"/>
        <v>8.5000000000000006E-4</v>
      </c>
      <c r="BN16" s="563">
        <f t="shared" si="13"/>
        <v>295.54036044222323</v>
      </c>
      <c r="BO16" s="563">
        <f t="shared" si="14"/>
        <v>302.90333278280139</v>
      </c>
      <c r="BP16" s="611">
        <f t="shared" si="15"/>
        <v>0.97569200618252094</v>
      </c>
      <c r="BR16" s="564">
        <f t="shared" si="16"/>
        <v>19.25</v>
      </c>
      <c r="BS16" s="564">
        <f t="shared" si="17"/>
        <v>0.25800000000000001</v>
      </c>
      <c r="BT16" s="564">
        <f t="shared" si="18"/>
        <v>0.19750000000000001</v>
      </c>
      <c r="BU16" s="564">
        <f t="shared" si="19"/>
        <v>6.4</v>
      </c>
      <c r="BV16" s="564">
        <f t="shared" si="20"/>
        <v>1.8</v>
      </c>
      <c r="BW16" s="564">
        <f t="shared" si="21"/>
        <v>0.17461000000000002</v>
      </c>
      <c r="BX16" s="564">
        <f t="shared" si="0"/>
        <v>6.5799999999999999E-3</v>
      </c>
      <c r="BY16" s="564">
        <f t="shared" si="22"/>
        <v>0.12695999999999999</v>
      </c>
      <c r="BZ16" s="564">
        <f t="shared" si="23"/>
        <v>4.1749999999999999E-3</v>
      </c>
      <c r="CA16" s="564">
        <f t="shared" si="24"/>
        <v>28.217825000000001</v>
      </c>
      <c r="CB16" s="611">
        <f t="shared" si="25"/>
        <v>0.9102524193548388</v>
      </c>
      <c r="CC16" s="610"/>
      <c r="CD16" s="610">
        <f t="shared" si="26"/>
        <v>0.68965517241379315</v>
      </c>
      <c r="CE16" s="610" t="e">
        <f t="shared" si="27"/>
        <v>#VALUE!</v>
      </c>
      <c r="CF16" s="610">
        <f t="shared" si="36"/>
        <v>0.89999999999999991</v>
      </c>
      <c r="CG16" s="610">
        <f t="shared" si="37"/>
        <v>0.86499999999999999</v>
      </c>
    </row>
    <row r="17" spans="2:85" ht="20.149999999999999" customHeight="1" x14ac:dyDescent="0.2">
      <c r="B17" s="31" t="s">
        <v>84</v>
      </c>
      <c r="C17" s="32" t="s">
        <v>90</v>
      </c>
      <c r="D17" s="33">
        <v>30</v>
      </c>
      <c r="E17" s="623">
        <f t="shared" si="28"/>
        <v>2.3E-2</v>
      </c>
      <c r="F17" s="35">
        <v>0.1</v>
      </c>
      <c r="G17" s="35">
        <v>12</v>
      </c>
      <c r="H17" s="36">
        <v>6.5000000000000002E-2</v>
      </c>
      <c r="I17" s="35">
        <v>4.4000000000000004</v>
      </c>
      <c r="J17" s="35">
        <v>0.44</v>
      </c>
      <c r="K17" s="35">
        <v>1.7000000000000001E-2</v>
      </c>
      <c r="L17" s="32">
        <v>1.6E-2</v>
      </c>
      <c r="M17" s="34">
        <v>59</v>
      </c>
      <c r="N17" s="35">
        <v>41</v>
      </c>
      <c r="O17" s="49" t="s">
        <v>64</v>
      </c>
      <c r="P17" s="35">
        <v>300</v>
      </c>
      <c r="Q17" s="35">
        <v>6.3</v>
      </c>
      <c r="R17" s="624">
        <f t="shared" si="29"/>
        <v>1.4500000000000001E-2</v>
      </c>
      <c r="S17" s="35">
        <v>3.1</v>
      </c>
      <c r="T17" s="35">
        <v>5.9</v>
      </c>
      <c r="U17" s="35">
        <v>0.52</v>
      </c>
      <c r="V17" s="35">
        <v>4.4000000000000004</v>
      </c>
      <c r="W17" s="35">
        <v>59</v>
      </c>
      <c r="X17" s="624">
        <f t="shared" si="30"/>
        <v>5.5E-2</v>
      </c>
      <c r="Y17" s="35">
        <v>2.2000000000000002</v>
      </c>
      <c r="Z17" s="35">
        <v>12</v>
      </c>
      <c r="AA17" s="35">
        <v>41</v>
      </c>
      <c r="AB17" s="35">
        <v>1.3</v>
      </c>
      <c r="AC17" s="35">
        <v>1.5</v>
      </c>
      <c r="AD17" s="35">
        <v>0.14000000000000001</v>
      </c>
      <c r="AE17" s="35">
        <v>0.95</v>
      </c>
      <c r="AF17" s="35">
        <v>4.3</v>
      </c>
      <c r="AG17" s="624">
        <f t="shared" si="31"/>
        <v>3.95E-2</v>
      </c>
      <c r="AH17" s="35">
        <v>18</v>
      </c>
      <c r="AI17" s="35">
        <v>0.11</v>
      </c>
      <c r="AJ17" s="35">
        <v>0.15</v>
      </c>
      <c r="AK17" s="624">
        <f t="shared" si="32"/>
        <v>1.7500000000000002E-2</v>
      </c>
      <c r="AL17" s="628">
        <f t="shared" si="33"/>
        <v>0.01</v>
      </c>
      <c r="AM17" s="33">
        <v>7.1999999999999995E-2</v>
      </c>
      <c r="AN17" s="628">
        <f t="shared" si="34"/>
        <v>1.4E-2</v>
      </c>
      <c r="AO17" s="628">
        <f t="shared" si="35"/>
        <v>3.95E-2</v>
      </c>
      <c r="AP17" s="35">
        <v>13</v>
      </c>
      <c r="AQ17" s="32"/>
      <c r="AR17" s="34">
        <v>0.2</v>
      </c>
      <c r="AS17" s="36">
        <v>2.2000000000000002</v>
      </c>
      <c r="AT17" s="36">
        <v>1.1000000000000001</v>
      </c>
      <c r="AU17" s="36">
        <v>0.95</v>
      </c>
      <c r="AV17" s="36">
        <v>1.3</v>
      </c>
      <c r="AW17" s="35">
        <v>2.2000000000000002</v>
      </c>
      <c r="AX17" s="33">
        <v>0.53</v>
      </c>
      <c r="AY17" s="33">
        <v>5.5E-2</v>
      </c>
      <c r="AZ17" s="33">
        <v>5.8</v>
      </c>
      <c r="BA17" s="33">
        <v>1.5</v>
      </c>
      <c r="BB17" s="37" t="s">
        <v>64</v>
      </c>
      <c r="BC17" s="619">
        <f t="shared" si="3"/>
        <v>0.99137931034482762</v>
      </c>
      <c r="BD17" s="610">
        <f t="shared" si="4"/>
        <v>0.99000000000000032</v>
      </c>
      <c r="BF17" s="610">
        <f t="shared" si="5"/>
        <v>6.4788732394366192E-4</v>
      </c>
      <c r="BG17" s="610">
        <f t="shared" si="6"/>
        <v>1.6129032258064516E-3</v>
      </c>
      <c r="BH17" s="610">
        <f t="shared" si="7"/>
        <v>0.25</v>
      </c>
      <c r="BI17" s="610">
        <f t="shared" si="8"/>
        <v>2.8260869565217392E-3</v>
      </c>
      <c r="BJ17" s="610">
        <f t="shared" si="9"/>
        <v>0.24444444444444446</v>
      </c>
      <c r="BK17" s="610">
        <f t="shared" si="10"/>
        <v>1.1282051282051283E-2</v>
      </c>
      <c r="BL17" s="610">
        <f t="shared" si="11"/>
        <v>1.3991769547325103E-3</v>
      </c>
      <c r="BM17" s="610">
        <f t="shared" si="12"/>
        <v>8.0000000000000004E-4</v>
      </c>
      <c r="BN17" s="563">
        <f t="shared" si="13"/>
        <v>252.26079054975008</v>
      </c>
      <c r="BO17" s="563">
        <f t="shared" si="14"/>
        <v>260.75175963775001</v>
      </c>
      <c r="BP17" s="611">
        <f t="shared" si="15"/>
        <v>0.96743657991111531</v>
      </c>
      <c r="BR17" s="564">
        <f t="shared" si="16"/>
        <v>16.5</v>
      </c>
      <c r="BS17" s="564">
        <f t="shared" si="17"/>
        <v>0.129</v>
      </c>
      <c r="BT17" s="564">
        <f t="shared" si="18"/>
        <v>0.16250000000000001</v>
      </c>
      <c r="BU17" s="564">
        <f t="shared" si="19"/>
        <v>9.2799999999999994</v>
      </c>
      <c r="BV17" s="564">
        <f t="shared" si="20"/>
        <v>1.5</v>
      </c>
      <c r="BW17" s="564">
        <f t="shared" si="21"/>
        <v>0.37679000000000001</v>
      </c>
      <c r="BX17" s="564">
        <f t="shared" si="0"/>
        <v>8.8199999999999997E-3</v>
      </c>
      <c r="BY17" s="564">
        <f t="shared" si="22"/>
        <v>8.1419999999999992E-2</v>
      </c>
      <c r="BZ17" s="564">
        <f t="shared" si="23"/>
        <v>5.1769999999999993E-3</v>
      </c>
      <c r="CA17" s="564">
        <f t="shared" si="24"/>
        <v>28.043707000000001</v>
      </c>
      <c r="CB17" s="611">
        <f t="shared" si="25"/>
        <v>0.93479023333333333</v>
      </c>
      <c r="CC17" s="610"/>
      <c r="CD17" s="610">
        <f t="shared" si="26"/>
        <v>0.79452054794520544</v>
      </c>
      <c r="CE17" s="610" t="e">
        <f t="shared" si="27"/>
        <v>#VALUE!</v>
      </c>
      <c r="CF17" s="610">
        <f t="shared" si="36"/>
        <v>0.90000000000000013</v>
      </c>
      <c r="CG17" s="610">
        <f t="shared" si="37"/>
        <v>0.58500000000000008</v>
      </c>
    </row>
    <row r="18" spans="2:85" ht="20.149999999999999" customHeight="1" thickBot="1" x14ac:dyDescent="0.25">
      <c r="B18" s="39" t="s">
        <v>84</v>
      </c>
      <c r="C18" s="45" t="s">
        <v>91</v>
      </c>
      <c r="D18" s="41">
        <v>18</v>
      </c>
      <c r="E18" s="631">
        <f t="shared" si="28"/>
        <v>2.3E-2</v>
      </c>
      <c r="F18" s="43">
        <v>7.8E-2</v>
      </c>
      <c r="G18" s="43">
        <v>7.1</v>
      </c>
      <c r="H18" s="44">
        <v>1.0999999999999999E-2</v>
      </c>
      <c r="I18" s="43">
        <v>2.5</v>
      </c>
      <c r="J18" s="43">
        <v>0.21</v>
      </c>
      <c r="K18" s="43">
        <v>7.3000000000000001E-3</v>
      </c>
      <c r="L18" s="45">
        <v>7.9000000000000008E-3</v>
      </c>
      <c r="M18" s="42">
        <v>29</v>
      </c>
      <c r="N18" s="43">
        <v>14</v>
      </c>
      <c r="O18" s="43" t="s">
        <v>64</v>
      </c>
      <c r="P18" s="43">
        <v>140</v>
      </c>
      <c r="Q18" s="43">
        <v>3.3</v>
      </c>
      <c r="R18" s="626">
        <f t="shared" si="29"/>
        <v>1.4500000000000001E-2</v>
      </c>
      <c r="S18" s="43">
        <v>1.8</v>
      </c>
      <c r="T18" s="43">
        <v>2.6</v>
      </c>
      <c r="U18" s="43">
        <v>1.9</v>
      </c>
      <c r="V18" s="43">
        <v>2.6</v>
      </c>
      <c r="W18" s="43">
        <v>35</v>
      </c>
      <c r="X18" s="626">
        <f t="shared" si="30"/>
        <v>5.5E-2</v>
      </c>
      <c r="Y18" s="43">
        <v>1.8</v>
      </c>
      <c r="Z18" s="43">
        <v>7.3</v>
      </c>
      <c r="AA18" s="43">
        <v>22</v>
      </c>
      <c r="AB18" s="43">
        <v>0.88</v>
      </c>
      <c r="AC18" s="43">
        <v>1.1000000000000001</v>
      </c>
      <c r="AD18" s="626">
        <f>0.5*1.4</f>
        <v>0.7</v>
      </c>
      <c r="AE18" s="43">
        <v>1.3</v>
      </c>
      <c r="AF18" s="43">
        <v>1.7</v>
      </c>
      <c r="AG18" s="626">
        <f t="shared" si="31"/>
        <v>3.95E-2</v>
      </c>
      <c r="AH18" s="43">
        <v>6.6</v>
      </c>
      <c r="AI18" s="626">
        <f>0.5*0.038</f>
        <v>1.9E-2</v>
      </c>
      <c r="AJ18" s="43">
        <v>2.5000000000000001E-2</v>
      </c>
      <c r="AK18" s="626">
        <f t="shared" si="32"/>
        <v>1.7500000000000002E-2</v>
      </c>
      <c r="AL18" s="629">
        <f t="shared" si="33"/>
        <v>0.01</v>
      </c>
      <c r="AM18" s="41">
        <v>0.18</v>
      </c>
      <c r="AN18" s="629">
        <f t="shared" si="34"/>
        <v>1.4E-2</v>
      </c>
      <c r="AO18" s="629">
        <f t="shared" si="35"/>
        <v>3.95E-2</v>
      </c>
      <c r="AP18" s="43">
        <v>5.5</v>
      </c>
      <c r="AQ18" s="45"/>
      <c r="AR18" s="42">
        <v>0</v>
      </c>
      <c r="AS18" s="44">
        <v>1.5</v>
      </c>
      <c r="AT18" s="44">
        <v>0.99</v>
      </c>
      <c r="AU18" s="44">
        <v>0.63</v>
      </c>
      <c r="AV18" s="44">
        <v>1.3</v>
      </c>
      <c r="AW18" s="43">
        <v>1.5</v>
      </c>
      <c r="AX18" s="41">
        <v>0.83</v>
      </c>
      <c r="AY18" s="41">
        <v>7.4999999999999997E-2</v>
      </c>
      <c r="AZ18" s="41">
        <v>4.4000000000000004</v>
      </c>
      <c r="BA18" s="41">
        <v>1.1000000000000001</v>
      </c>
      <c r="BB18" s="45" t="s">
        <v>64</v>
      </c>
      <c r="BC18" s="620">
        <f t="shared" si="3"/>
        <v>1.0045454545454544</v>
      </c>
      <c r="BD18" s="617">
        <f t="shared" si="4"/>
        <v>1.0045454545454546</v>
      </c>
      <c r="BE18" s="616"/>
      <c r="BF18" s="617">
        <f t="shared" si="5"/>
        <v>6.4788732394366192E-4</v>
      </c>
      <c r="BG18" s="617">
        <f t="shared" si="6"/>
        <v>1.2580645161290322E-3</v>
      </c>
      <c r="BH18" s="617">
        <f t="shared" si="7"/>
        <v>0.14791666666666667</v>
      </c>
      <c r="BI18" s="617">
        <f t="shared" si="8"/>
        <v>4.7826086956521735E-4</v>
      </c>
      <c r="BJ18" s="617">
        <f t="shared" si="9"/>
        <v>0.1388888888888889</v>
      </c>
      <c r="BK18" s="617">
        <f t="shared" si="10"/>
        <v>5.3846153846153844E-3</v>
      </c>
      <c r="BL18" s="617">
        <f t="shared" si="11"/>
        <v>6.0082304526748974E-4</v>
      </c>
      <c r="BM18" s="617">
        <f t="shared" si="12"/>
        <v>3.9500000000000006E-4</v>
      </c>
      <c r="BN18" s="621">
        <f t="shared" si="13"/>
        <v>149.82261850673936</v>
      </c>
      <c r="BO18" s="621">
        <f t="shared" si="14"/>
        <v>145.74758818833698</v>
      </c>
      <c r="BP18" s="618">
        <f t="shared" si="15"/>
        <v>1.0279595042981884</v>
      </c>
      <c r="BQ18" s="616"/>
      <c r="BR18" s="615">
        <f t="shared" si="16"/>
        <v>9.7624999999999993</v>
      </c>
      <c r="BS18" s="615">
        <f t="shared" si="17"/>
        <v>0.10062</v>
      </c>
      <c r="BT18" s="615">
        <f t="shared" si="18"/>
        <v>2.7499999999999997E-2</v>
      </c>
      <c r="BU18" s="615">
        <f t="shared" si="19"/>
        <v>7.0400000000000009</v>
      </c>
      <c r="BV18" s="615">
        <f t="shared" si="20"/>
        <v>1.1000000000000001</v>
      </c>
      <c r="BW18" s="615">
        <f t="shared" si="21"/>
        <v>0.12866</v>
      </c>
      <c r="BX18" s="615">
        <f t="shared" si="0"/>
        <v>4.62E-3</v>
      </c>
      <c r="BY18" s="615">
        <f t="shared" si="22"/>
        <v>4.8300000000000003E-2</v>
      </c>
      <c r="BZ18" s="615">
        <f t="shared" si="23"/>
        <v>3.006E-3</v>
      </c>
      <c r="CA18" s="615">
        <f t="shared" si="24"/>
        <v>18.215205999999998</v>
      </c>
      <c r="CB18" s="618">
        <f t="shared" si="25"/>
        <v>1.0119558888888889</v>
      </c>
      <c r="CC18" s="617"/>
      <c r="CD18" s="617">
        <f t="shared" si="26"/>
        <v>0.8</v>
      </c>
      <c r="CE18" s="617" t="e">
        <f t="shared" si="27"/>
        <v>#VALUE!</v>
      </c>
      <c r="CF18" s="617">
        <f t="shared" si="36"/>
        <v>0.19999999999999996</v>
      </c>
      <c r="CG18" s="617">
        <f t="shared" si="37"/>
        <v>0.90499999999999992</v>
      </c>
    </row>
    <row r="19" spans="2:85" ht="20.149999999999999" customHeight="1" x14ac:dyDescent="0.2">
      <c r="B19" s="31" t="s">
        <v>61</v>
      </c>
      <c r="C19" s="46" t="s">
        <v>92</v>
      </c>
      <c r="D19" s="47">
        <v>27</v>
      </c>
      <c r="E19" s="48" t="s">
        <v>63</v>
      </c>
      <c r="F19" s="49">
        <v>0.14000000000000001</v>
      </c>
      <c r="G19" s="49">
        <v>13</v>
      </c>
      <c r="H19" s="50">
        <v>7.5999999999999998E-2</v>
      </c>
      <c r="I19" s="49">
        <v>4.9000000000000004</v>
      </c>
      <c r="J19" s="49">
        <v>0.15</v>
      </c>
      <c r="K19" s="49">
        <v>6.7999999999999996E-3</v>
      </c>
      <c r="L19" s="37">
        <v>2.1999999999999999E-2</v>
      </c>
      <c r="M19" s="48">
        <v>69</v>
      </c>
      <c r="N19" s="49">
        <v>25</v>
      </c>
      <c r="O19" s="51" t="s">
        <v>64</v>
      </c>
      <c r="P19" s="49">
        <v>84</v>
      </c>
      <c r="Q19" s="49">
        <v>8.9</v>
      </c>
      <c r="R19" s="49" t="s">
        <v>65</v>
      </c>
      <c r="S19" s="49">
        <v>1.6</v>
      </c>
      <c r="T19" s="49">
        <v>7.9</v>
      </c>
      <c r="U19" s="49">
        <v>0.87</v>
      </c>
      <c r="V19" s="49">
        <v>5.2</v>
      </c>
      <c r="W19" s="49">
        <v>79</v>
      </c>
      <c r="X19" s="49" t="s">
        <v>67</v>
      </c>
      <c r="Y19" s="49">
        <v>3.3</v>
      </c>
      <c r="Z19" s="49">
        <v>5.9</v>
      </c>
      <c r="AA19" s="49">
        <v>99</v>
      </c>
      <c r="AB19" s="49">
        <v>1.7</v>
      </c>
      <c r="AC19" s="49">
        <v>1.1000000000000001</v>
      </c>
      <c r="AD19" s="49">
        <v>0.19</v>
      </c>
      <c r="AE19" s="49">
        <v>2.8</v>
      </c>
      <c r="AF19" s="49">
        <v>1.1000000000000001</v>
      </c>
      <c r="AG19" s="49">
        <v>0.13</v>
      </c>
      <c r="AH19" s="49">
        <v>4.7</v>
      </c>
      <c r="AI19" s="49" t="s">
        <v>72</v>
      </c>
      <c r="AJ19" s="49">
        <v>0.11</v>
      </c>
      <c r="AK19" s="49" t="s">
        <v>74</v>
      </c>
      <c r="AL19" s="47" t="s">
        <v>75</v>
      </c>
      <c r="AM19" s="47">
        <v>9.8000000000000004E-2</v>
      </c>
      <c r="AN19" s="47" t="s">
        <v>77</v>
      </c>
      <c r="AO19" s="47" t="s">
        <v>70</v>
      </c>
      <c r="AP19" s="49">
        <v>15</v>
      </c>
      <c r="AQ19" s="37"/>
      <c r="AR19" s="48">
        <v>0</v>
      </c>
      <c r="AS19" s="50">
        <v>1.4</v>
      </c>
      <c r="AT19" s="50">
        <v>0.55000000000000004</v>
      </c>
      <c r="AU19" s="50">
        <v>0.46</v>
      </c>
      <c r="AV19" s="50">
        <v>0.94</v>
      </c>
      <c r="AW19" s="49">
        <v>1.7</v>
      </c>
      <c r="AX19" s="47">
        <v>0.91</v>
      </c>
      <c r="AY19" s="47">
        <v>0.03</v>
      </c>
      <c r="AZ19" s="47">
        <v>3.4</v>
      </c>
      <c r="BA19" s="47">
        <v>1.7</v>
      </c>
      <c r="BB19" s="46" t="s">
        <v>64</v>
      </c>
      <c r="BC19" s="619">
        <f t="shared" si="3"/>
        <v>0.98529411764705888</v>
      </c>
      <c r="BD19" s="610">
        <f t="shared" si="4"/>
        <v>0.99999999999999989</v>
      </c>
      <c r="BF19" s="610" t="e">
        <f t="shared" si="5"/>
        <v>#VALUE!</v>
      </c>
      <c r="BG19" s="610">
        <f t="shared" si="6"/>
        <v>2.2580645161290325E-3</v>
      </c>
      <c r="BH19" s="610">
        <f t="shared" si="7"/>
        <v>0.27083333333333331</v>
      </c>
      <c r="BI19" s="610">
        <f t="shared" si="8"/>
        <v>3.3043478260869562E-3</v>
      </c>
      <c r="BJ19" s="610">
        <f t="shared" si="9"/>
        <v>0.27222222222222225</v>
      </c>
      <c r="BK19" s="610">
        <f t="shared" si="10"/>
        <v>3.8461538461538459E-3</v>
      </c>
      <c r="BL19" s="610">
        <f t="shared" si="11"/>
        <v>5.5967078189300408E-4</v>
      </c>
      <c r="BM19" s="610">
        <f t="shared" si="12"/>
        <v>1.0999999999999998E-3</v>
      </c>
      <c r="BN19" s="563" t="e">
        <f t="shared" si="13"/>
        <v>#VALUE!</v>
      </c>
      <c r="BO19" s="563">
        <f t="shared" si="14"/>
        <v>281.03239467635603</v>
      </c>
      <c r="BP19" s="611" t="e">
        <f t="shared" si="15"/>
        <v>#VALUE!</v>
      </c>
      <c r="BR19" s="564">
        <f t="shared" si="16"/>
        <v>17.875</v>
      </c>
      <c r="BS19" s="564">
        <f t="shared" si="17"/>
        <v>0.18060000000000001</v>
      </c>
      <c r="BT19" s="564">
        <f t="shared" si="18"/>
        <v>0.19</v>
      </c>
      <c r="BU19" s="564">
        <f t="shared" si="19"/>
        <v>5.44</v>
      </c>
      <c r="BV19" s="564">
        <f t="shared" si="20"/>
        <v>1.7</v>
      </c>
      <c r="BW19" s="564">
        <f t="shared" si="21"/>
        <v>0.22975000000000001</v>
      </c>
      <c r="BX19" s="564">
        <f t="shared" si="0"/>
        <v>1.2459999999999999E-2</v>
      </c>
      <c r="BY19" s="564">
        <f t="shared" si="22"/>
        <v>0.10901999999999999</v>
      </c>
      <c r="BZ19" s="564">
        <f t="shared" si="23"/>
        <v>2.6719999999999999E-3</v>
      </c>
      <c r="CA19" s="564">
        <f t="shared" si="24"/>
        <v>25.739502000000002</v>
      </c>
      <c r="CB19" s="611">
        <f t="shared" si="25"/>
        <v>0.95331488888888893</v>
      </c>
      <c r="CC19" s="610"/>
      <c r="CD19" s="610">
        <f t="shared" si="26"/>
        <v>0.66666666666666674</v>
      </c>
      <c r="CE19" s="610" t="e">
        <f t="shared" si="27"/>
        <v>#VALUE!</v>
      </c>
      <c r="CF19" s="610">
        <f t="shared" si="36"/>
        <v>0.76</v>
      </c>
      <c r="CG19" s="610">
        <f t="shared" si="37"/>
        <v>0.94000000000000006</v>
      </c>
    </row>
    <row r="20" spans="2:85" ht="20.149999999999999" customHeight="1" x14ac:dyDescent="0.2">
      <c r="B20" s="21" t="s">
        <v>61</v>
      </c>
      <c r="C20" s="52" t="s">
        <v>93</v>
      </c>
      <c r="D20" s="53">
        <v>23</v>
      </c>
      <c r="E20" s="54" t="s">
        <v>63</v>
      </c>
      <c r="F20" s="55">
        <v>7.6999999999999999E-2</v>
      </c>
      <c r="G20" s="55">
        <v>10</v>
      </c>
      <c r="H20" s="56">
        <v>7.6999999999999999E-2</v>
      </c>
      <c r="I20" s="55">
        <v>3.5</v>
      </c>
      <c r="J20" s="55">
        <v>0.12</v>
      </c>
      <c r="K20" s="55">
        <v>6.6E-3</v>
      </c>
      <c r="L20" s="52">
        <v>1.7000000000000001E-2</v>
      </c>
      <c r="M20" s="54">
        <v>130</v>
      </c>
      <c r="N20" s="55">
        <v>31</v>
      </c>
      <c r="O20" s="55" t="s">
        <v>64</v>
      </c>
      <c r="P20" s="55">
        <v>150</v>
      </c>
      <c r="Q20" s="55">
        <v>8.9</v>
      </c>
      <c r="R20" s="55" t="s">
        <v>65</v>
      </c>
      <c r="S20" s="55">
        <v>3.3</v>
      </c>
      <c r="T20" s="55">
        <v>6</v>
      </c>
      <c r="U20" s="55">
        <v>1.3</v>
      </c>
      <c r="V20" s="55">
        <v>6.1</v>
      </c>
      <c r="W20" s="55">
        <v>83</v>
      </c>
      <c r="X20" s="55" t="s">
        <v>67</v>
      </c>
      <c r="Y20" s="55">
        <v>3.5</v>
      </c>
      <c r="Z20" s="55">
        <v>6.9</v>
      </c>
      <c r="AA20" s="55">
        <v>47</v>
      </c>
      <c r="AB20" s="55">
        <v>1.1000000000000001</v>
      </c>
      <c r="AC20" s="55">
        <v>0.98</v>
      </c>
      <c r="AD20" s="55">
        <v>0.2</v>
      </c>
      <c r="AE20" s="55">
        <v>1.5</v>
      </c>
      <c r="AF20" s="55">
        <v>1.1000000000000001</v>
      </c>
      <c r="AG20" s="55" t="s">
        <v>70</v>
      </c>
      <c r="AH20" s="55">
        <v>7.6</v>
      </c>
      <c r="AI20" s="55" t="s">
        <v>72</v>
      </c>
      <c r="AJ20" s="55">
        <v>0.11</v>
      </c>
      <c r="AK20" s="55" t="s">
        <v>74</v>
      </c>
      <c r="AL20" s="53" t="s">
        <v>75</v>
      </c>
      <c r="AM20" s="53">
        <v>0.18</v>
      </c>
      <c r="AN20" s="53" t="s">
        <v>77</v>
      </c>
      <c r="AO20" s="53" t="s">
        <v>70</v>
      </c>
      <c r="AP20" s="55">
        <v>14</v>
      </c>
      <c r="AQ20" s="52"/>
      <c r="AR20" s="54">
        <v>0</v>
      </c>
      <c r="AS20" s="56">
        <v>1.4</v>
      </c>
      <c r="AT20" s="56">
        <v>0.68</v>
      </c>
      <c r="AU20" s="56">
        <v>0.52</v>
      </c>
      <c r="AV20" s="56">
        <v>0.99</v>
      </c>
      <c r="AW20" s="55">
        <v>1.5</v>
      </c>
      <c r="AX20" s="53">
        <v>0.93</v>
      </c>
      <c r="AY20" s="53">
        <v>8.5000000000000006E-2</v>
      </c>
      <c r="AZ20" s="53">
        <v>3.6</v>
      </c>
      <c r="BA20" s="53">
        <v>1.5</v>
      </c>
      <c r="BB20" s="52" t="s">
        <v>64</v>
      </c>
      <c r="BC20" s="619">
        <f t="shared" si="3"/>
        <v>0.99722222222222212</v>
      </c>
      <c r="BD20" s="610">
        <f t="shared" si="4"/>
        <v>1.0166666666666668</v>
      </c>
      <c r="BF20" s="610" t="e">
        <f t="shared" si="5"/>
        <v>#VALUE!</v>
      </c>
      <c r="BG20" s="610">
        <f t="shared" si="6"/>
        <v>1.2419354838709678E-3</v>
      </c>
      <c r="BH20" s="610">
        <f t="shared" si="7"/>
        <v>0.20833333333333334</v>
      </c>
      <c r="BI20" s="610">
        <f t="shared" si="8"/>
        <v>3.3478260869565218E-3</v>
      </c>
      <c r="BJ20" s="610">
        <f t="shared" si="9"/>
        <v>0.19444444444444445</v>
      </c>
      <c r="BK20" s="610">
        <f t="shared" si="10"/>
        <v>3.0769230769230769E-3</v>
      </c>
      <c r="BL20" s="610">
        <f t="shared" si="11"/>
        <v>5.4320987654320988E-4</v>
      </c>
      <c r="BM20" s="610">
        <f t="shared" si="12"/>
        <v>8.5000000000000006E-4</v>
      </c>
      <c r="BN20" s="563" t="e">
        <f t="shared" si="13"/>
        <v>#VALUE!</v>
      </c>
      <c r="BO20" s="563">
        <f t="shared" si="14"/>
        <v>202.26240348486726</v>
      </c>
      <c r="BP20" s="611" t="e">
        <f t="shared" si="15"/>
        <v>#VALUE!</v>
      </c>
      <c r="BR20" s="564">
        <f t="shared" si="16"/>
        <v>13.75</v>
      </c>
      <c r="BS20" s="564">
        <f t="shared" si="17"/>
        <v>9.9330000000000002E-2</v>
      </c>
      <c r="BT20" s="564">
        <f t="shared" si="18"/>
        <v>0.1925</v>
      </c>
      <c r="BU20" s="564">
        <f t="shared" si="19"/>
        <v>5.7600000000000007</v>
      </c>
      <c r="BV20" s="564">
        <f t="shared" si="20"/>
        <v>1.5</v>
      </c>
      <c r="BW20" s="564">
        <f t="shared" si="21"/>
        <v>0.28489000000000003</v>
      </c>
      <c r="BX20" s="564">
        <f t="shared" si="0"/>
        <v>1.2459999999999999E-2</v>
      </c>
      <c r="BY20" s="564">
        <f t="shared" si="22"/>
        <v>0.11454</v>
      </c>
      <c r="BZ20" s="564">
        <f t="shared" si="23"/>
        <v>5.5109999999999994E-3</v>
      </c>
      <c r="CA20" s="564">
        <f t="shared" si="24"/>
        <v>21.719231000000004</v>
      </c>
      <c r="CB20" s="611">
        <f t="shared" si="25"/>
        <v>0.94431439130434802</v>
      </c>
      <c r="CD20" s="610">
        <f t="shared" si="26"/>
        <v>0.70588235294117652</v>
      </c>
      <c r="CE20" s="610" t="e">
        <f t="shared" si="27"/>
        <v>#VALUE!</v>
      </c>
      <c r="CF20" s="610">
        <f t="shared" si="36"/>
        <v>0.51</v>
      </c>
      <c r="CG20" s="610">
        <f t="shared" si="37"/>
        <v>1.0150000000000001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24.285714285714285</v>
      </c>
      <c r="E21" s="541">
        <f t="shared" ref="E21:BB21" si="38">AVERAGE(E12:E18)</f>
        <v>2.2999999999999996E-2</v>
      </c>
      <c r="F21" s="541">
        <f t="shared" si="38"/>
        <v>0.2382857142857143</v>
      </c>
      <c r="G21" s="540">
        <f t="shared" si="38"/>
        <v>9.3142857142857149</v>
      </c>
      <c r="H21" s="541">
        <f t="shared" si="38"/>
        <v>9.6428571428571419E-2</v>
      </c>
      <c r="I21" s="540">
        <f t="shared" si="38"/>
        <v>3.4428571428571431</v>
      </c>
      <c r="J21" s="541">
        <f t="shared" si="38"/>
        <v>0.17142857142857143</v>
      </c>
      <c r="K21" s="541">
        <f t="shared" si="38"/>
        <v>9.9285714285714272E-3</v>
      </c>
      <c r="L21" s="541">
        <f t="shared" si="38"/>
        <v>1.4700000000000001E-2</v>
      </c>
      <c r="M21" s="540">
        <f t="shared" si="38"/>
        <v>96.428571428571431</v>
      </c>
      <c r="N21" s="540">
        <f t="shared" si="38"/>
        <v>20.142857142857142</v>
      </c>
      <c r="O21" s="540" t="e">
        <f t="shared" si="38"/>
        <v>#DIV/0!</v>
      </c>
      <c r="P21" s="540">
        <f t="shared" si="38"/>
        <v>114.14285714285714</v>
      </c>
      <c r="Q21" s="540">
        <f t="shared" si="38"/>
        <v>4.0642857142857149</v>
      </c>
      <c r="R21" s="540">
        <f t="shared" si="38"/>
        <v>1.4500000000000001E-2</v>
      </c>
      <c r="S21" s="540">
        <f t="shared" si="38"/>
        <v>2.0714285714285716</v>
      </c>
      <c r="T21" s="540">
        <f t="shared" si="38"/>
        <v>4.4857142857142858</v>
      </c>
      <c r="U21" s="540">
        <f t="shared" si="38"/>
        <v>1.01</v>
      </c>
      <c r="V21" s="540">
        <f t="shared" si="38"/>
        <v>4.3</v>
      </c>
      <c r="W21" s="540">
        <f t="shared" si="38"/>
        <v>69.857142857142861</v>
      </c>
      <c r="X21" s="540">
        <f t="shared" si="38"/>
        <v>5.5E-2</v>
      </c>
      <c r="Y21" s="540">
        <f t="shared" si="38"/>
        <v>1.9571428571428571</v>
      </c>
      <c r="Z21" s="540">
        <f t="shared" si="38"/>
        <v>5.8</v>
      </c>
      <c r="AA21" s="540">
        <f t="shared" si="38"/>
        <v>35.428571428571431</v>
      </c>
      <c r="AB21" s="540">
        <f t="shared" si="38"/>
        <v>0.79</v>
      </c>
      <c r="AC21" s="541">
        <f t="shared" si="38"/>
        <v>1.05</v>
      </c>
      <c r="AD21" s="541">
        <f t="shared" si="38"/>
        <v>0.62</v>
      </c>
      <c r="AE21" s="541">
        <f t="shared" si="38"/>
        <v>1.4600000000000002</v>
      </c>
      <c r="AF21" s="541">
        <f t="shared" si="38"/>
        <v>1.6642857142857141</v>
      </c>
      <c r="AG21" s="541">
        <f t="shared" si="38"/>
        <v>3.95E-2</v>
      </c>
      <c r="AH21" s="541">
        <f t="shared" si="38"/>
        <v>6.1071428571428568</v>
      </c>
      <c r="AI21" s="541">
        <f t="shared" si="38"/>
        <v>7.9714285714285724E-2</v>
      </c>
      <c r="AJ21" s="541">
        <f t="shared" si="38"/>
        <v>9.5285714285714293E-2</v>
      </c>
      <c r="AK21" s="541">
        <f t="shared" si="38"/>
        <v>1.7500000000000002E-2</v>
      </c>
      <c r="AL21" s="541">
        <f t="shared" si="38"/>
        <v>0.01</v>
      </c>
      <c r="AM21" s="541">
        <f t="shared" si="38"/>
        <v>0.22457142857142856</v>
      </c>
      <c r="AN21" s="541">
        <f t="shared" si="38"/>
        <v>1.4E-2</v>
      </c>
      <c r="AO21" s="541">
        <f t="shared" si="38"/>
        <v>3.95E-2</v>
      </c>
      <c r="AP21" s="541">
        <f t="shared" si="38"/>
        <v>8.5285714285714285</v>
      </c>
      <c r="AQ21" s="541" t="e">
        <f t="shared" si="38"/>
        <v>#DIV/0!</v>
      </c>
      <c r="AR21" s="540">
        <f t="shared" si="38"/>
        <v>4.7142857142857146E-2</v>
      </c>
      <c r="AS21" s="540">
        <f t="shared" si="38"/>
        <v>1.6428571428571428</v>
      </c>
      <c r="AT21" s="540">
        <f t="shared" si="38"/>
        <v>0.98714285714285721</v>
      </c>
      <c r="AU21" s="540">
        <f t="shared" si="38"/>
        <v>0.71571428571428564</v>
      </c>
      <c r="AV21" s="540">
        <f t="shared" si="38"/>
        <v>1.2142857142857142</v>
      </c>
      <c r="AW21" s="540">
        <f t="shared" si="38"/>
        <v>1.8571428571428572</v>
      </c>
      <c r="AX21" s="540">
        <f t="shared" si="38"/>
        <v>0.86571428571428577</v>
      </c>
      <c r="AY21" s="540">
        <f t="shared" si="38"/>
        <v>5.8571428571428573E-2</v>
      </c>
      <c r="AZ21" s="540">
        <f t="shared" si="38"/>
        <v>4.6142857142857139</v>
      </c>
      <c r="BA21" s="540">
        <f t="shared" si="38"/>
        <v>1.5857142857142856</v>
      </c>
      <c r="BB21" s="556" t="e">
        <f t="shared" si="38"/>
        <v>#DIV/0!</v>
      </c>
      <c r="CD21" s="691">
        <f>AVERAGE(CD12:CD18)</f>
        <v>0.7428197425726546</v>
      </c>
      <c r="CE21" s="691" t="e">
        <f>AVERAGE(CE12:CE18)</f>
        <v>#VALUE!</v>
      </c>
      <c r="CF21" s="691">
        <f>AVERAGE(CF12:CF18)</f>
        <v>0.6428571428571429</v>
      </c>
      <c r="CG21" s="691">
        <f>AVERAGE(CG12:CG18)</f>
        <v>0.92428571428571438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</v>
      </c>
      <c r="E22" s="545">
        <f t="shared" ref="E22:BB22" si="39">AVERAGE(E7:E20)</f>
        <v>2.2999999999999996E-2</v>
      </c>
      <c r="F22" s="545">
        <f t="shared" si="39"/>
        <v>0.17121428571428571</v>
      </c>
      <c r="G22" s="544">
        <f t="shared" si="39"/>
        <v>7.6571428571428566</v>
      </c>
      <c r="H22" s="545">
        <f t="shared" si="39"/>
        <v>9.0142857142857122E-2</v>
      </c>
      <c r="I22" s="544">
        <f t="shared" si="39"/>
        <v>2.8357142857142854</v>
      </c>
      <c r="J22" s="545">
        <f t="shared" si="39"/>
        <v>0.14164285714285713</v>
      </c>
      <c r="K22" s="545">
        <f t="shared" si="39"/>
        <v>8.257142857142857E-3</v>
      </c>
      <c r="L22" s="545">
        <f t="shared" si="39"/>
        <v>1.4478571428571427E-2</v>
      </c>
      <c r="M22" s="544">
        <f t="shared" si="39"/>
        <v>88.642857142857139</v>
      </c>
      <c r="N22" s="544">
        <f t="shared" si="39"/>
        <v>19.8</v>
      </c>
      <c r="O22" s="544" t="e">
        <f t="shared" si="39"/>
        <v>#DIV/0!</v>
      </c>
      <c r="P22" s="544">
        <f t="shared" si="39"/>
        <v>95.285714285714292</v>
      </c>
      <c r="Q22" s="544">
        <f t="shared" si="39"/>
        <v>4.8038461538461537</v>
      </c>
      <c r="R22" s="544">
        <f t="shared" si="39"/>
        <v>1.4500000000000001E-2</v>
      </c>
      <c r="S22" s="544">
        <f t="shared" si="39"/>
        <v>2.0671428571428572</v>
      </c>
      <c r="T22" s="544">
        <f t="shared" si="39"/>
        <v>4.7678571428571432</v>
      </c>
      <c r="U22" s="544">
        <f t="shared" si="39"/>
        <v>1.0058333333333334</v>
      </c>
      <c r="V22" s="544">
        <f t="shared" si="39"/>
        <v>4.5285714285714294</v>
      </c>
      <c r="W22" s="544">
        <f t="shared" si="39"/>
        <v>69.571428571428569</v>
      </c>
      <c r="X22" s="544">
        <f t="shared" si="39"/>
        <v>7.6875000000000013E-2</v>
      </c>
      <c r="Y22" s="544">
        <f t="shared" si="39"/>
        <v>2.5361538461538462</v>
      </c>
      <c r="Z22" s="544">
        <f t="shared" si="39"/>
        <v>5.2500000000000009</v>
      </c>
      <c r="AA22" s="544">
        <f t="shared" si="39"/>
        <v>37.521428571428565</v>
      </c>
      <c r="AB22" s="544">
        <f t="shared" si="39"/>
        <v>0.78785714285714281</v>
      </c>
      <c r="AC22" s="545">
        <f t="shared" si="39"/>
        <v>1.1299999999999999</v>
      </c>
      <c r="AD22" s="545">
        <f t="shared" si="39"/>
        <v>0.45909090909090916</v>
      </c>
      <c r="AE22" s="545">
        <f t="shared" si="39"/>
        <v>1.3185714285714287</v>
      </c>
      <c r="AF22" s="545">
        <f t="shared" si="39"/>
        <v>1.297857142857143</v>
      </c>
      <c r="AG22" s="545">
        <f t="shared" si="39"/>
        <v>5.0812500000000003E-2</v>
      </c>
      <c r="AH22" s="545">
        <f t="shared" si="39"/>
        <v>6.4318181818181817</v>
      </c>
      <c r="AI22" s="545">
        <f t="shared" si="39"/>
        <v>8.6444444444444435E-2</v>
      </c>
      <c r="AJ22" s="545">
        <f t="shared" si="39"/>
        <v>0.10433333333333333</v>
      </c>
      <c r="AK22" s="545">
        <f t="shared" si="39"/>
        <v>1.7500000000000002E-2</v>
      </c>
      <c r="AL22" s="545">
        <f t="shared" si="39"/>
        <v>0.01</v>
      </c>
      <c r="AM22" s="545">
        <f t="shared" si="39"/>
        <v>0.23700000000000002</v>
      </c>
      <c r="AN22" s="545">
        <f t="shared" si="39"/>
        <v>1.4E-2</v>
      </c>
      <c r="AO22" s="545">
        <f t="shared" si="39"/>
        <v>3.95E-2</v>
      </c>
      <c r="AP22" s="545">
        <f t="shared" si="39"/>
        <v>9.9928571428571438</v>
      </c>
      <c r="AQ22" s="545" t="e">
        <f t="shared" si="39"/>
        <v>#DIV/0!</v>
      </c>
      <c r="AR22" s="544">
        <f t="shared" si="39"/>
        <v>6.7142857142857143E-2</v>
      </c>
      <c r="AS22" s="544">
        <f t="shared" si="39"/>
        <v>1.5735714285714284</v>
      </c>
      <c r="AT22" s="544">
        <f t="shared" si="39"/>
        <v>1.0507142857142857</v>
      </c>
      <c r="AU22" s="544">
        <f t="shared" si="39"/>
        <v>0.70285714285714285</v>
      </c>
      <c r="AV22" s="544">
        <f t="shared" si="39"/>
        <v>1.0549999999999999</v>
      </c>
      <c r="AW22" s="544">
        <f t="shared" si="39"/>
        <v>1.6600000000000001</v>
      </c>
      <c r="AX22" s="544">
        <f t="shared" si="39"/>
        <v>0.78785714285714281</v>
      </c>
      <c r="AY22" s="544">
        <f t="shared" si="39"/>
        <v>5.8214285714285711E-2</v>
      </c>
      <c r="AZ22" s="544">
        <f t="shared" si="39"/>
        <v>4.4571428571428573</v>
      </c>
      <c r="BA22" s="544">
        <f t="shared" si="39"/>
        <v>1.4514285714285717</v>
      </c>
      <c r="BB22" s="557" t="e">
        <f t="shared" si="39"/>
        <v>#DIV/0!</v>
      </c>
      <c r="CD22" s="691">
        <f>AVERAGE(CD7:CD20)</f>
        <v>0.74792234216503217</v>
      </c>
      <c r="CE22" s="691" t="e">
        <f>AVERAGE(CE7:CE20)</f>
        <v>#VALUE!</v>
      </c>
      <c r="CF22" s="691">
        <f>AVERAGE(CF7:CF20)</f>
        <v>0.60500000000000009</v>
      </c>
      <c r="CG22" s="691">
        <f>AVERAGE(CG7:CG20)</f>
        <v>0.84607142857142859</v>
      </c>
    </row>
    <row r="23" spans="2:85" ht="20.149999999999999" customHeight="1" x14ac:dyDescent="0.2">
      <c r="B23" s="704" t="s">
        <v>94</v>
      </c>
      <c r="C23" s="705"/>
      <c r="D23" s="57"/>
      <c r="E23" s="30">
        <v>4.5999999999999999E-2</v>
      </c>
      <c r="F23" s="29">
        <v>1.5E-3</v>
      </c>
      <c r="G23" s="29">
        <v>3.8999999999999998E-3</v>
      </c>
      <c r="H23" s="30">
        <v>2.5999999999999999E-2</v>
      </c>
      <c r="I23" s="29">
        <v>1.4E-3</v>
      </c>
      <c r="J23" s="29">
        <v>1.1999999999999999E-3</v>
      </c>
      <c r="K23" s="29">
        <v>6.3000000000000003E-4</v>
      </c>
      <c r="L23" s="26">
        <v>5.3E-3</v>
      </c>
      <c r="M23" s="30">
        <v>2.4</v>
      </c>
      <c r="N23" s="29">
        <v>2.5</v>
      </c>
      <c r="O23" s="29" t="s">
        <v>64</v>
      </c>
      <c r="P23" s="29">
        <v>5.7</v>
      </c>
      <c r="Q23" s="29">
        <v>2.1</v>
      </c>
      <c r="R23" s="29">
        <v>2.9000000000000001E-2</v>
      </c>
      <c r="S23" s="29">
        <v>0.2</v>
      </c>
      <c r="T23" s="29">
        <v>7.1999999999999995E-2</v>
      </c>
      <c r="U23" s="29">
        <v>0.12</v>
      </c>
      <c r="V23" s="29">
        <v>0.16</v>
      </c>
      <c r="W23" s="29">
        <v>4.3</v>
      </c>
      <c r="X23" s="29">
        <v>0.11</v>
      </c>
      <c r="Y23" s="29">
        <v>0.19</v>
      </c>
      <c r="Z23" s="29">
        <v>0.21</v>
      </c>
      <c r="AA23" s="29">
        <v>1.1000000000000001</v>
      </c>
      <c r="AB23" s="29">
        <v>9.7000000000000003E-2</v>
      </c>
      <c r="AC23" s="29">
        <v>0.2</v>
      </c>
      <c r="AD23" s="29">
        <v>1.4</v>
      </c>
      <c r="AE23" s="29">
        <v>7.6999999999999999E-2</v>
      </c>
      <c r="AF23" s="29">
        <v>1.2E-2</v>
      </c>
      <c r="AG23" s="29">
        <v>7.9000000000000001E-2</v>
      </c>
      <c r="AH23" s="29">
        <v>2.2999999999999998</v>
      </c>
      <c r="AI23" s="29">
        <v>3.7999999999999999E-2</v>
      </c>
      <c r="AJ23" s="29">
        <v>1.7999999999999999E-2</v>
      </c>
      <c r="AK23" s="29">
        <v>3.5000000000000003E-2</v>
      </c>
      <c r="AL23" s="27">
        <v>0.02</v>
      </c>
      <c r="AM23" s="58">
        <v>0.04</v>
      </c>
      <c r="AN23" s="58">
        <v>2.8000000000000001E-2</v>
      </c>
      <c r="AO23" s="58">
        <v>7.9000000000000001E-2</v>
      </c>
      <c r="AP23" s="59">
        <v>0.12</v>
      </c>
      <c r="AQ23" s="60"/>
      <c r="AR23" s="28">
        <v>0</v>
      </c>
      <c r="AS23" s="30">
        <v>2.9000000000000001E-2</v>
      </c>
      <c r="AT23" s="30">
        <v>1.4999999999999999E-2</v>
      </c>
      <c r="AU23" s="30">
        <v>6.7000000000000002E-3</v>
      </c>
      <c r="AV23" s="30">
        <v>0</v>
      </c>
      <c r="AW23" s="29">
        <v>0</v>
      </c>
      <c r="AX23" s="27">
        <v>0</v>
      </c>
      <c r="AY23" s="27">
        <v>0</v>
      </c>
      <c r="AZ23" s="27"/>
      <c r="BA23" s="27"/>
      <c r="BB23" s="26" t="s">
        <v>64</v>
      </c>
    </row>
    <row r="24" spans="2:85" ht="20.149999999999999" customHeight="1" x14ac:dyDescent="0.2">
      <c r="B24" s="692" t="s">
        <v>95</v>
      </c>
      <c r="C24" s="693"/>
      <c r="D24" s="61"/>
      <c r="E24" s="56">
        <v>0.15</v>
      </c>
      <c r="F24" s="55">
        <v>4.8999999999999998E-3</v>
      </c>
      <c r="G24" s="55">
        <v>1.2999999999999999E-2</v>
      </c>
      <c r="H24" s="56">
        <v>8.5000000000000006E-2</v>
      </c>
      <c r="I24" s="55">
        <v>4.7999999999999996E-3</v>
      </c>
      <c r="J24" s="55">
        <v>4.1000000000000003E-3</v>
      </c>
      <c r="K24" s="55">
        <v>2.0999999999999999E-3</v>
      </c>
      <c r="L24" s="52">
        <v>1.7999999999999999E-2</v>
      </c>
      <c r="M24" s="56">
        <v>8.1</v>
      </c>
      <c r="N24" s="55">
        <v>8.1999999999999993</v>
      </c>
      <c r="O24" s="55" t="s">
        <v>96</v>
      </c>
      <c r="P24" s="55">
        <v>19</v>
      </c>
      <c r="Q24" s="55">
        <v>6.9</v>
      </c>
      <c r="R24" s="55">
        <v>9.7000000000000003E-2</v>
      </c>
      <c r="S24" s="55">
        <v>0.66</v>
      </c>
      <c r="T24" s="55">
        <v>0.24</v>
      </c>
      <c r="U24" s="55">
        <v>0.4</v>
      </c>
      <c r="V24" s="55">
        <v>0.53</v>
      </c>
      <c r="W24" s="55">
        <v>14</v>
      </c>
      <c r="X24" s="55">
        <v>0.36</v>
      </c>
      <c r="Y24" s="55">
        <v>0.64</v>
      </c>
      <c r="Z24" s="55">
        <v>0.7</v>
      </c>
      <c r="AA24" s="55">
        <v>3.8</v>
      </c>
      <c r="AB24" s="55">
        <v>0.32</v>
      </c>
      <c r="AC24" s="55">
        <v>0.67</v>
      </c>
      <c r="AD24" s="55">
        <v>0.46</v>
      </c>
      <c r="AE24" s="55">
        <v>0.26</v>
      </c>
      <c r="AF24" s="55">
        <v>0.12</v>
      </c>
      <c r="AG24" s="55">
        <v>0.26</v>
      </c>
      <c r="AH24" s="55">
        <v>7.7</v>
      </c>
      <c r="AI24" s="55">
        <v>0.13</v>
      </c>
      <c r="AJ24" s="55">
        <v>0.06</v>
      </c>
      <c r="AK24" s="55">
        <v>0.12</v>
      </c>
      <c r="AL24" s="53">
        <v>0.2</v>
      </c>
      <c r="AM24" s="53">
        <v>0.13</v>
      </c>
      <c r="AN24" s="53">
        <v>9.4E-2</v>
      </c>
      <c r="AO24" s="53">
        <v>0.26</v>
      </c>
      <c r="AP24" s="55">
        <v>0.41</v>
      </c>
      <c r="AQ24" s="52"/>
      <c r="AR24" s="54">
        <v>0</v>
      </c>
      <c r="AS24" s="56">
        <v>9.6000000000000002E-2</v>
      </c>
      <c r="AT24" s="56">
        <v>0.05</v>
      </c>
      <c r="AU24" s="56">
        <v>2.1999999999999999E-2</v>
      </c>
      <c r="AV24" s="56">
        <v>0</v>
      </c>
      <c r="AW24" s="55">
        <v>0</v>
      </c>
      <c r="AX24" s="53">
        <v>0</v>
      </c>
      <c r="AY24" s="53">
        <v>0</v>
      </c>
      <c r="AZ24" s="53"/>
      <c r="BA24" s="53"/>
      <c r="BB24" s="52" t="s">
        <v>96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79" priority="6" stopIfTrue="1" operator="notBetween">
      <formula>0.8</formula>
      <formula>1.2</formula>
    </cfRule>
  </conditionalFormatting>
  <conditionalFormatting sqref="BC7:BD20">
    <cfRule type="cellIs" dxfId="78" priority="5" stopIfTrue="1" operator="notBetween">
      <formula>0.9</formula>
      <formula>1.1</formula>
    </cfRule>
  </conditionalFormatting>
  <conditionalFormatting sqref="BP7:BP20">
    <cfRule type="cellIs" dxfId="77" priority="3" stopIfTrue="1" operator="notBetween">
      <formula>0.8</formula>
      <formula>1.2</formula>
    </cfRule>
  </conditionalFormatting>
  <conditionalFormatting sqref="CF7:CF20">
    <cfRule type="cellIs" dxfId="76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G30"/>
  <sheetViews>
    <sheetView topLeftCell="BI1" zoomScale="70" zoomScaleNormal="70" workbookViewId="0">
      <selection activeCell="CF7" sqref="CF7:CG20"/>
    </sheetView>
  </sheetViews>
  <sheetFormatPr defaultRowHeight="13" x14ac:dyDescent="0.2"/>
  <cols>
    <col min="1" max="1" width="3.36328125" customWidth="1"/>
    <col min="2" max="2" width="3.36328125" bestFit="1" customWidth="1"/>
    <col min="3" max="3" width="17.08984375" customWidth="1"/>
    <col min="4" max="4" width="9.90625" customWidth="1"/>
    <col min="5" max="5" width="10.453125" customWidth="1"/>
    <col min="6" max="12" width="10.36328125" bestFit="1" customWidth="1"/>
    <col min="13" max="54" width="10.453125" customWidth="1"/>
  </cols>
  <sheetData>
    <row r="1" spans="2:85" ht="30.75" customHeight="1" thickBot="1" x14ac:dyDescent="0.25">
      <c r="C1" s="1" t="s">
        <v>0</v>
      </c>
    </row>
    <row r="2" spans="2:85" ht="30.75" customHeight="1" thickBot="1" x14ac:dyDescent="0.25">
      <c r="C2" s="2" t="s">
        <v>1</v>
      </c>
      <c r="D2" s="699" t="s">
        <v>213</v>
      </c>
      <c r="E2" s="700"/>
      <c r="F2" s="701"/>
    </row>
    <row r="3" spans="2:85" ht="30.75" customHeight="1" x14ac:dyDescent="0.2">
      <c r="C3" s="3"/>
      <c r="D3" s="3"/>
      <c r="E3" s="4"/>
      <c r="F3" s="4"/>
      <c r="AQ3" s="5" t="s">
        <v>2</v>
      </c>
    </row>
    <row r="4" spans="2:85" ht="30.75" customHeight="1" x14ac:dyDescent="0.2">
      <c r="B4" s="6"/>
      <c r="C4" s="6"/>
      <c r="D4" s="7" t="s">
        <v>3</v>
      </c>
      <c r="E4" s="8" t="s">
        <v>4</v>
      </c>
      <c r="F4" s="9"/>
      <c r="G4" s="702"/>
      <c r="H4" s="702"/>
      <c r="I4" s="9"/>
      <c r="J4" s="9"/>
      <c r="K4" s="9"/>
      <c r="L4" s="10"/>
      <c r="M4" s="8" t="s">
        <v>5</v>
      </c>
      <c r="N4" s="9"/>
      <c r="O4" s="702"/>
      <c r="P4" s="70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8" t="s">
        <v>6</v>
      </c>
      <c r="AS4" s="9"/>
      <c r="AT4" s="702"/>
      <c r="AU4" s="702"/>
      <c r="AV4" s="9"/>
      <c r="AW4" s="9"/>
      <c r="AX4" s="9"/>
      <c r="AY4" s="9"/>
      <c r="AZ4" s="9"/>
      <c r="BA4" s="9"/>
      <c r="BB4" s="10"/>
    </row>
    <row r="5" spans="2:85" ht="20.149999999999999" customHeight="1" x14ac:dyDescent="0.2">
      <c r="B5" s="703" t="s">
        <v>7</v>
      </c>
      <c r="C5" s="698"/>
      <c r="D5" s="11" t="s">
        <v>165</v>
      </c>
      <c r="E5" s="12" t="s">
        <v>166</v>
      </c>
      <c r="F5" s="13" t="s">
        <v>167</v>
      </c>
      <c r="G5" s="13" t="s">
        <v>168</v>
      </c>
      <c r="H5" s="14" t="s">
        <v>169</v>
      </c>
      <c r="I5" s="13" t="s">
        <v>170</v>
      </c>
      <c r="J5" s="13" t="s">
        <v>171</v>
      </c>
      <c r="K5" s="13" t="s">
        <v>172</v>
      </c>
      <c r="L5" s="15" t="s">
        <v>173</v>
      </c>
      <c r="M5" s="16" t="s">
        <v>17</v>
      </c>
      <c r="N5" s="17" t="s">
        <v>18</v>
      </c>
      <c r="O5" s="17" t="s">
        <v>174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175</v>
      </c>
      <c r="AK5" s="17" t="s">
        <v>41</v>
      </c>
      <c r="AL5" s="18" t="s">
        <v>176</v>
      </c>
      <c r="AM5" s="18" t="s">
        <v>177</v>
      </c>
      <c r="AN5" s="18" t="s">
        <v>178</v>
      </c>
      <c r="AO5" s="18" t="s">
        <v>179</v>
      </c>
      <c r="AP5" s="17" t="s">
        <v>46</v>
      </c>
      <c r="AQ5" s="19" t="s">
        <v>47</v>
      </c>
      <c r="AR5" s="12" t="s">
        <v>180</v>
      </c>
      <c r="AS5" s="14" t="s">
        <v>181</v>
      </c>
      <c r="AT5" s="14" t="s">
        <v>182</v>
      </c>
      <c r="AU5" s="14" t="s">
        <v>183</v>
      </c>
      <c r="AV5" s="14" t="s">
        <v>184</v>
      </c>
      <c r="AW5" s="13" t="s">
        <v>185</v>
      </c>
      <c r="AX5" s="11" t="s">
        <v>186</v>
      </c>
      <c r="AY5" s="11" t="s">
        <v>187</v>
      </c>
      <c r="AZ5" s="11" t="s">
        <v>188</v>
      </c>
      <c r="BA5" s="11" t="s">
        <v>189</v>
      </c>
      <c r="BB5" s="15" t="s">
        <v>190</v>
      </c>
      <c r="BF5" t="s">
        <v>625</v>
      </c>
      <c r="BN5" t="s">
        <v>627</v>
      </c>
      <c r="BO5" t="s">
        <v>627</v>
      </c>
      <c r="BR5" t="s">
        <v>624</v>
      </c>
    </row>
    <row r="6" spans="2:85" ht="20.149999999999999" customHeight="1" x14ac:dyDescent="0.2">
      <c r="B6" s="696"/>
      <c r="C6" s="697"/>
      <c r="D6" s="20" t="s">
        <v>191</v>
      </c>
      <c r="E6" s="21" t="s">
        <v>191</v>
      </c>
      <c r="F6" s="22" t="s">
        <v>191</v>
      </c>
      <c r="G6" s="22" t="s">
        <v>191</v>
      </c>
      <c r="H6" s="23" t="s">
        <v>191</v>
      </c>
      <c r="I6" s="22" t="s">
        <v>191</v>
      </c>
      <c r="J6" s="22" t="s">
        <v>191</v>
      </c>
      <c r="K6" s="22" t="s">
        <v>191</v>
      </c>
      <c r="L6" s="24" t="s">
        <v>191</v>
      </c>
      <c r="M6" s="21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192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0" t="s">
        <v>192</v>
      </c>
      <c r="AM6" s="20" t="s">
        <v>192</v>
      </c>
      <c r="AN6" s="20" t="s">
        <v>192</v>
      </c>
      <c r="AO6" s="20" t="s">
        <v>192</v>
      </c>
      <c r="AP6" s="22" t="s">
        <v>192</v>
      </c>
      <c r="AQ6" s="25"/>
      <c r="AR6" s="21" t="s">
        <v>191</v>
      </c>
      <c r="AS6" s="21" t="s">
        <v>191</v>
      </c>
      <c r="AT6" s="21" t="s">
        <v>191</v>
      </c>
      <c r="AU6" s="21" t="s">
        <v>191</v>
      </c>
      <c r="AV6" s="21" t="s">
        <v>191</v>
      </c>
      <c r="AW6" s="21" t="s">
        <v>191</v>
      </c>
      <c r="AX6" s="21" t="s">
        <v>191</v>
      </c>
      <c r="AY6" s="21" t="s">
        <v>191</v>
      </c>
      <c r="AZ6" s="21" t="s">
        <v>191</v>
      </c>
      <c r="BA6" s="21" t="s">
        <v>191</v>
      </c>
      <c r="BB6" s="24" t="s">
        <v>191</v>
      </c>
      <c r="BC6" s="613" t="s">
        <v>56</v>
      </c>
      <c r="BD6" s="614" t="s">
        <v>608</v>
      </c>
      <c r="BE6" s="614"/>
      <c r="BF6" s="614" t="s">
        <v>609</v>
      </c>
      <c r="BG6" s="614" t="s">
        <v>610</v>
      </c>
      <c r="BH6" s="614" t="s">
        <v>611</v>
      </c>
      <c r="BI6" s="614" t="s">
        <v>612</v>
      </c>
      <c r="BJ6" s="614" t="s">
        <v>613</v>
      </c>
      <c r="BK6" s="614" t="s">
        <v>614</v>
      </c>
      <c r="BL6" s="614" t="s">
        <v>615</v>
      </c>
      <c r="BM6" s="614" t="s">
        <v>616</v>
      </c>
      <c r="BN6" s="614" t="s">
        <v>151</v>
      </c>
      <c r="BO6" s="614" t="s">
        <v>617</v>
      </c>
      <c r="BP6" s="614" t="s">
        <v>626</v>
      </c>
      <c r="BQ6" s="614"/>
      <c r="BR6" s="614" t="s">
        <v>611</v>
      </c>
      <c r="BS6" s="614" t="s">
        <v>610</v>
      </c>
      <c r="BT6" s="614" t="s">
        <v>612</v>
      </c>
      <c r="BU6" s="614" t="s">
        <v>56</v>
      </c>
      <c r="BV6" s="614" t="s">
        <v>57</v>
      </c>
      <c r="BW6" s="614" t="s">
        <v>618</v>
      </c>
      <c r="BX6" s="614" t="s">
        <v>619</v>
      </c>
      <c r="BY6" s="614" t="s">
        <v>620</v>
      </c>
      <c r="BZ6" s="614" t="s">
        <v>621</v>
      </c>
      <c r="CA6" s="614" t="s">
        <v>622</v>
      </c>
      <c r="CB6" s="614" t="s">
        <v>623</v>
      </c>
      <c r="CC6" s="568"/>
      <c r="CD6" s="690" t="s">
        <v>663</v>
      </c>
      <c r="CE6" s="690" t="s">
        <v>665</v>
      </c>
      <c r="CF6" s="690" t="s">
        <v>667</v>
      </c>
      <c r="CG6" s="690" t="s">
        <v>669</v>
      </c>
    </row>
    <row r="7" spans="2:85" ht="20.149999999999999" customHeight="1" x14ac:dyDescent="0.2">
      <c r="B7" s="16" t="s">
        <v>61</v>
      </c>
      <c r="C7" s="26" t="s">
        <v>193</v>
      </c>
      <c r="D7" s="27">
        <v>3.9</v>
      </c>
      <c r="E7" s="28" t="s">
        <v>63</v>
      </c>
      <c r="F7" s="29">
        <v>0.12</v>
      </c>
      <c r="G7" s="29">
        <v>1.3</v>
      </c>
      <c r="H7" s="30">
        <v>0.11</v>
      </c>
      <c r="I7" s="29">
        <v>0.44</v>
      </c>
      <c r="J7" s="29">
        <v>2.3E-2</v>
      </c>
      <c r="K7" s="29">
        <v>4.5999999999999999E-3</v>
      </c>
      <c r="L7" s="26">
        <v>7.1000000000000004E-3</v>
      </c>
      <c r="M7" s="28">
        <v>76</v>
      </c>
      <c r="N7" s="29" t="s">
        <v>194</v>
      </c>
      <c r="O7" s="29" t="s">
        <v>64</v>
      </c>
      <c r="P7" s="29" t="s">
        <v>195</v>
      </c>
      <c r="Q7" s="29" t="s">
        <v>81</v>
      </c>
      <c r="R7" s="29" t="s">
        <v>65</v>
      </c>
      <c r="S7" s="29">
        <v>0.79</v>
      </c>
      <c r="T7" s="29">
        <v>0.72</v>
      </c>
      <c r="U7" s="29" t="s">
        <v>66</v>
      </c>
      <c r="V7" s="29">
        <v>0.56999999999999995</v>
      </c>
      <c r="W7" s="29" t="s">
        <v>196</v>
      </c>
      <c r="X7" s="29" t="s">
        <v>67</v>
      </c>
      <c r="Y7" s="29" t="s">
        <v>79</v>
      </c>
      <c r="Z7" s="29">
        <v>2.9</v>
      </c>
      <c r="AA7" s="29">
        <v>1.3</v>
      </c>
      <c r="AB7" s="29" t="s">
        <v>197</v>
      </c>
      <c r="AC7" s="29" t="s">
        <v>68</v>
      </c>
      <c r="AD7" s="29" t="s">
        <v>69</v>
      </c>
      <c r="AE7" s="29" t="s">
        <v>198</v>
      </c>
      <c r="AF7" s="29">
        <v>0.19</v>
      </c>
      <c r="AG7" s="29" t="s">
        <v>70</v>
      </c>
      <c r="AH7" s="29" t="s">
        <v>71</v>
      </c>
      <c r="AI7" s="29" t="s">
        <v>72</v>
      </c>
      <c r="AJ7" s="29" t="s">
        <v>73</v>
      </c>
      <c r="AK7" s="29" t="s">
        <v>74</v>
      </c>
      <c r="AL7" s="27" t="s">
        <v>75</v>
      </c>
      <c r="AM7" s="27" t="s">
        <v>76</v>
      </c>
      <c r="AN7" s="27" t="s">
        <v>77</v>
      </c>
      <c r="AO7" s="27" t="s">
        <v>70</v>
      </c>
      <c r="AP7" s="29">
        <v>2.2000000000000002</v>
      </c>
      <c r="AQ7" s="26" t="s">
        <v>64</v>
      </c>
      <c r="AR7" s="28">
        <v>0</v>
      </c>
      <c r="AS7" s="30">
        <v>0.4</v>
      </c>
      <c r="AT7" s="30">
        <v>0.42</v>
      </c>
      <c r="AU7" s="30">
        <v>0.23</v>
      </c>
      <c r="AV7" s="30">
        <v>0.12</v>
      </c>
      <c r="AW7" s="29">
        <v>0.14000000000000001</v>
      </c>
      <c r="AX7" s="27">
        <v>0.25</v>
      </c>
      <c r="AY7" s="27">
        <v>0.02</v>
      </c>
      <c r="AZ7" s="27">
        <v>1.2</v>
      </c>
      <c r="BA7" s="27">
        <v>0.28999999999999998</v>
      </c>
      <c r="BB7" s="26" t="s">
        <v>64</v>
      </c>
      <c r="BC7" s="619">
        <f>SUM(AR7:AV7)/AZ7</f>
        <v>0.97499999999999998</v>
      </c>
      <c r="BD7" s="610">
        <f>(SUM(AW7:AY7)-AV7)/BA7</f>
        <v>1.0000000000000002</v>
      </c>
      <c r="BF7" s="610" t="e">
        <f>E7/35.5</f>
        <v>#VALUE!</v>
      </c>
      <c r="BG7" s="610">
        <f>F7/62</f>
        <v>1.9354838709677419E-3</v>
      </c>
      <c r="BH7" s="610">
        <f>G7/(96/2)</f>
        <v>2.7083333333333334E-2</v>
      </c>
      <c r="BI7" s="610">
        <f>H7/23</f>
        <v>4.7826086956521737E-3</v>
      </c>
      <c r="BJ7" s="610">
        <f>I7/18</f>
        <v>2.4444444444444446E-2</v>
      </c>
      <c r="BK7" s="610">
        <f>J7/39</f>
        <v>5.8974358974358979E-4</v>
      </c>
      <c r="BL7" s="610">
        <f>K7/(24.3/2)</f>
        <v>3.7860082304526745E-4</v>
      </c>
      <c r="BM7" s="610">
        <f>L7/(40/2)</f>
        <v>3.5500000000000001E-4</v>
      </c>
      <c r="BN7" s="563" t="e">
        <f>SUM(BF7:BH7)*1000</f>
        <v>#VALUE!</v>
      </c>
      <c r="BO7" s="563">
        <f>SUM(BI7:BM7)*1000</f>
        <v>30.550397552885478</v>
      </c>
      <c r="BP7" s="611" t="e">
        <f>BN7/BO7</f>
        <v>#VALUE!</v>
      </c>
      <c r="BR7" s="564">
        <f>1.375*G7</f>
        <v>1.7875000000000001</v>
      </c>
      <c r="BS7" s="564">
        <f>1.29*F7</f>
        <v>0.15479999999999999</v>
      </c>
      <c r="BT7" s="564">
        <f>2.5*H7</f>
        <v>0.27500000000000002</v>
      </c>
      <c r="BU7" s="564">
        <f>1.6*AZ7</f>
        <v>1.92</v>
      </c>
      <c r="BV7" s="564">
        <f>BA7</f>
        <v>0.28999999999999998</v>
      </c>
      <c r="BW7" s="564" t="e">
        <f>9.19/1000*N7</f>
        <v>#VALUE!</v>
      </c>
      <c r="BX7" s="564" t="e">
        <f t="shared" ref="BX7:BX20" si="0">Q7/1000*1.4</f>
        <v>#VALUE!</v>
      </c>
      <c r="BY7" s="564" t="e">
        <f>W7/1000*1.38</f>
        <v>#VALUE!</v>
      </c>
      <c r="BZ7" s="564">
        <f>S7/1000*1.67</f>
        <v>1.3193E-3</v>
      </c>
      <c r="CA7" s="564" t="e">
        <f>SUM(BR7:BZ7)</f>
        <v>#VALUE!</v>
      </c>
      <c r="CB7" s="611" t="e">
        <f>CA7/D7</f>
        <v>#VALUE!</v>
      </c>
      <c r="CD7" s="610">
        <f>AZ7/(AZ7+BA7)</f>
        <v>0.80536912751677847</v>
      </c>
      <c r="CE7" s="610" t="e">
        <f>BB7/AZ7</f>
        <v>#VALUE!</v>
      </c>
      <c r="CF7" s="610">
        <f t="shared" ref="CF7:CF12" si="1">IF(AW7-AV7&gt;0,AW7-AV7,0)</f>
        <v>2.0000000000000018E-2</v>
      </c>
      <c r="CG7" s="610">
        <f t="shared" ref="CG7:CG12" si="2">IF(AW7-AV7&gt;0,AX7+AY7,AW7+AX7+AY7-AV7)</f>
        <v>0.27</v>
      </c>
    </row>
    <row r="8" spans="2:85" ht="20.149999999999999" customHeight="1" x14ac:dyDescent="0.2">
      <c r="B8" s="31" t="s">
        <v>61</v>
      </c>
      <c r="C8" s="32" t="s">
        <v>199</v>
      </c>
      <c r="D8" s="33">
        <v>8.3000000000000007</v>
      </c>
      <c r="E8" s="34" t="s">
        <v>63</v>
      </c>
      <c r="F8" s="35">
        <v>0.11</v>
      </c>
      <c r="G8" s="35">
        <v>1.5</v>
      </c>
      <c r="H8" s="36">
        <v>0.12</v>
      </c>
      <c r="I8" s="35">
        <v>0.51</v>
      </c>
      <c r="J8" s="35">
        <v>0.11</v>
      </c>
      <c r="K8" s="35">
        <v>5.4999999999999997E-3</v>
      </c>
      <c r="L8" s="32">
        <v>1.9E-2</v>
      </c>
      <c r="M8" s="34">
        <v>52</v>
      </c>
      <c r="N8" s="35">
        <v>14</v>
      </c>
      <c r="O8" s="35" t="s">
        <v>64</v>
      </c>
      <c r="P8" s="35">
        <v>25</v>
      </c>
      <c r="Q8" s="35">
        <v>5</v>
      </c>
      <c r="R8" s="35" t="s">
        <v>65</v>
      </c>
      <c r="S8" s="35">
        <v>1.9</v>
      </c>
      <c r="T8" s="35">
        <v>2.7</v>
      </c>
      <c r="U8" s="35" t="s">
        <v>66</v>
      </c>
      <c r="V8" s="35">
        <v>5.0999999999999996</v>
      </c>
      <c r="W8" s="35">
        <v>44</v>
      </c>
      <c r="X8" s="35" t="s">
        <v>67</v>
      </c>
      <c r="Y8" s="35" t="s">
        <v>79</v>
      </c>
      <c r="Z8" s="35">
        <v>3.6</v>
      </c>
      <c r="AA8" s="35">
        <v>28</v>
      </c>
      <c r="AB8" s="35">
        <v>0.32</v>
      </c>
      <c r="AC8" s="35">
        <v>0.25</v>
      </c>
      <c r="AD8" s="35" t="s">
        <v>69</v>
      </c>
      <c r="AE8" s="35">
        <v>0.77</v>
      </c>
      <c r="AF8" s="35">
        <v>0.47</v>
      </c>
      <c r="AG8" s="35" t="s">
        <v>70</v>
      </c>
      <c r="AH8" s="35">
        <v>2.5</v>
      </c>
      <c r="AI8" s="35" t="s">
        <v>72</v>
      </c>
      <c r="AJ8" s="35">
        <v>8.1000000000000003E-2</v>
      </c>
      <c r="AK8" s="35" t="s">
        <v>74</v>
      </c>
      <c r="AL8" s="33" t="s">
        <v>75</v>
      </c>
      <c r="AM8" s="33" t="s">
        <v>76</v>
      </c>
      <c r="AN8" s="33" t="s">
        <v>77</v>
      </c>
      <c r="AO8" s="33" t="s">
        <v>70</v>
      </c>
      <c r="AP8" s="35">
        <v>5.7</v>
      </c>
      <c r="AQ8" s="32" t="s">
        <v>64</v>
      </c>
      <c r="AR8" s="34">
        <v>0</v>
      </c>
      <c r="AS8" s="36">
        <v>0.78</v>
      </c>
      <c r="AT8" s="36">
        <v>1</v>
      </c>
      <c r="AU8" s="36">
        <v>0.52</v>
      </c>
      <c r="AV8" s="36">
        <v>0.23</v>
      </c>
      <c r="AW8" s="35">
        <v>0.85</v>
      </c>
      <c r="AX8" s="33">
        <v>0.69</v>
      </c>
      <c r="AY8" s="33">
        <v>2.5000000000000001E-2</v>
      </c>
      <c r="AZ8" s="33">
        <v>2.5</v>
      </c>
      <c r="BA8" s="33">
        <v>1.3</v>
      </c>
      <c r="BB8" s="32" t="s">
        <v>64</v>
      </c>
      <c r="BC8" s="619">
        <f t="shared" ref="BC8:BC20" si="3">SUM(AR8:AV8)/AZ8</f>
        <v>1.012</v>
      </c>
      <c r="BD8" s="610">
        <f t="shared" ref="BD8:BD20" si="4">(SUM(AW8:AY8)-AV8)/BA8</f>
        <v>1.0269230769230768</v>
      </c>
      <c r="BF8" s="610" t="e">
        <f t="shared" ref="BF8:BF20" si="5">E8/35.5</f>
        <v>#VALUE!</v>
      </c>
      <c r="BG8" s="610">
        <f t="shared" ref="BG8:BG20" si="6">F8/62</f>
        <v>1.7741935483870969E-3</v>
      </c>
      <c r="BH8" s="610">
        <f t="shared" ref="BH8:BH20" si="7">G8/(96/2)</f>
        <v>3.125E-2</v>
      </c>
      <c r="BI8" s="610">
        <f t="shared" ref="BI8:BI20" si="8">H8/23</f>
        <v>5.2173913043478256E-3</v>
      </c>
      <c r="BJ8" s="610">
        <f t="shared" ref="BJ8:BJ20" si="9">I8/18</f>
        <v>2.8333333333333335E-2</v>
      </c>
      <c r="BK8" s="610">
        <f t="shared" ref="BK8:BK20" si="10">J8/39</f>
        <v>2.8205128205128207E-3</v>
      </c>
      <c r="BL8" s="610">
        <f t="shared" ref="BL8:BL20" si="11">K8/(24.3/2)</f>
        <v>4.5267489711934151E-4</v>
      </c>
      <c r="BM8" s="610">
        <f t="shared" ref="BM8:BM20" si="12">L8/(40/2)</f>
        <v>9.5E-4</v>
      </c>
      <c r="BN8" s="563" t="e">
        <f t="shared" ref="BN8:BN20" si="13">SUM(BF8:BH8)*1000</f>
        <v>#VALUE!</v>
      </c>
      <c r="BO8" s="563">
        <f t="shared" ref="BO8:BO20" si="14">SUM(BI8:BM8)*1000</f>
        <v>37.773912355313328</v>
      </c>
      <c r="BP8" s="611" t="e">
        <f t="shared" ref="BP8:BP20" si="15">BN8/BO8</f>
        <v>#VALUE!</v>
      </c>
      <c r="BR8" s="564">
        <f t="shared" ref="BR8:BR20" si="16">1.375*G8</f>
        <v>2.0625</v>
      </c>
      <c r="BS8" s="564">
        <f t="shared" ref="BS8:BS20" si="17">1.29*F8</f>
        <v>0.1419</v>
      </c>
      <c r="BT8" s="564">
        <f t="shared" ref="BT8:BT20" si="18">2.5*H8</f>
        <v>0.3</v>
      </c>
      <c r="BU8" s="564">
        <f t="shared" ref="BU8:BU20" si="19">1.6*AZ8</f>
        <v>4</v>
      </c>
      <c r="BV8" s="564">
        <f t="shared" ref="BV8:BV20" si="20">BA8</f>
        <v>1.3</v>
      </c>
      <c r="BW8" s="564">
        <f t="shared" ref="BW8:BW20" si="21">9.19/1000*N8</f>
        <v>0.12866</v>
      </c>
      <c r="BX8" s="564">
        <f t="shared" si="0"/>
        <v>6.9999999999999993E-3</v>
      </c>
      <c r="BY8" s="564">
        <f t="shared" ref="BY8:BY20" si="22">W8/1000*1.38</f>
        <v>6.0719999999999989E-2</v>
      </c>
      <c r="BZ8" s="564">
        <f t="shared" ref="BZ8:BZ20" si="23">S8/1000*1.67</f>
        <v>3.173E-3</v>
      </c>
      <c r="CA8" s="564">
        <f t="shared" ref="CA8:CA20" si="24">SUM(BR8:BZ8)</f>
        <v>8.003953000000001</v>
      </c>
      <c r="CB8" s="611">
        <f t="shared" ref="CB8:CB20" si="25">CA8/D8</f>
        <v>0.96433168674698799</v>
      </c>
      <c r="CD8" s="610">
        <f t="shared" ref="CD8:CD20" si="26">AZ8/(AZ8+BA8)</f>
        <v>0.65789473684210531</v>
      </c>
      <c r="CE8" s="610" t="e">
        <f t="shared" ref="CE8:CE20" si="27">BB8/AZ8</f>
        <v>#VALUE!</v>
      </c>
      <c r="CF8" s="610">
        <f t="shared" si="1"/>
        <v>0.62</v>
      </c>
      <c r="CG8" s="610">
        <f t="shared" si="2"/>
        <v>0.71499999999999997</v>
      </c>
    </row>
    <row r="9" spans="2:85" ht="20.149999999999999" customHeight="1" x14ac:dyDescent="0.2">
      <c r="B9" s="31" t="s">
        <v>61</v>
      </c>
      <c r="C9" s="37" t="s">
        <v>200</v>
      </c>
      <c r="D9" s="33">
        <v>14</v>
      </c>
      <c r="E9" s="34" t="s">
        <v>63</v>
      </c>
      <c r="F9" s="35">
        <v>1.1000000000000001</v>
      </c>
      <c r="G9" s="35">
        <v>3.2</v>
      </c>
      <c r="H9" s="36">
        <v>3.5999999999999997E-2</v>
      </c>
      <c r="I9" s="35">
        <v>1.5</v>
      </c>
      <c r="J9" s="35">
        <v>4.5999999999999999E-2</v>
      </c>
      <c r="K9" s="35">
        <v>9.7999999999999997E-4</v>
      </c>
      <c r="L9" s="32">
        <v>8.2000000000000007E-3</v>
      </c>
      <c r="M9" s="34">
        <v>38</v>
      </c>
      <c r="N9" s="35">
        <v>20</v>
      </c>
      <c r="O9" s="35" t="s">
        <v>64</v>
      </c>
      <c r="P9" s="35">
        <v>33</v>
      </c>
      <c r="Q9" s="35">
        <v>15</v>
      </c>
      <c r="R9" s="35" t="s">
        <v>65</v>
      </c>
      <c r="S9" s="35">
        <v>8.4</v>
      </c>
      <c r="T9" s="35">
        <v>1.2</v>
      </c>
      <c r="U9" s="35">
        <v>0.62</v>
      </c>
      <c r="V9" s="35">
        <v>3.7</v>
      </c>
      <c r="W9" s="35">
        <v>58</v>
      </c>
      <c r="X9" s="35">
        <v>0.12</v>
      </c>
      <c r="Y9" s="35">
        <v>0.6</v>
      </c>
      <c r="Z9" s="35">
        <v>3.3</v>
      </c>
      <c r="AA9" s="35">
        <v>34</v>
      </c>
      <c r="AB9" s="35">
        <v>0.44</v>
      </c>
      <c r="AC9" s="35">
        <v>0.59</v>
      </c>
      <c r="AD9" s="35" t="s">
        <v>69</v>
      </c>
      <c r="AE9" s="35">
        <v>1.2</v>
      </c>
      <c r="AF9" s="35">
        <v>0.79</v>
      </c>
      <c r="AG9" s="35" t="s">
        <v>70</v>
      </c>
      <c r="AH9" s="35">
        <v>3.2</v>
      </c>
      <c r="AI9" s="35">
        <v>5.0999999999999997E-2</v>
      </c>
      <c r="AJ9" s="35">
        <v>6.5000000000000002E-2</v>
      </c>
      <c r="AK9" s="35" t="s">
        <v>74</v>
      </c>
      <c r="AL9" s="33" t="s">
        <v>75</v>
      </c>
      <c r="AM9" s="33">
        <v>7.4</v>
      </c>
      <c r="AN9" s="33">
        <v>3.4000000000000002E-2</v>
      </c>
      <c r="AO9" s="33" t="s">
        <v>70</v>
      </c>
      <c r="AP9" s="35">
        <v>6</v>
      </c>
      <c r="AQ9" s="32" t="s">
        <v>64</v>
      </c>
      <c r="AR9" s="34">
        <v>0</v>
      </c>
      <c r="AS9" s="36">
        <v>0.96</v>
      </c>
      <c r="AT9" s="36">
        <v>0.86</v>
      </c>
      <c r="AU9" s="36">
        <v>0.52</v>
      </c>
      <c r="AV9" s="36">
        <v>0.54</v>
      </c>
      <c r="AW9" s="35">
        <v>0.89</v>
      </c>
      <c r="AX9" s="33">
        <v>1</v>
      </c>
      <c r="AY9" s="33">
        <v>7.0000000000000007E-2</v>
      </c>
      <c r="AZ9" s="33">
        <v>2.9</v>
      </c>
      <c r="BA9" s="33">
        <v>1.4</v>
      </c>
      <c r="BB9" s="32" t="s">
        <v>64</v>
      </c>
      <c r="BC9" s="619">
        <f t="shared" si="3"/>
        <v>0.99310344827586206</v>
      </c>
      <c r="BD9" s="610">
        <f t="shared" si="4"/>
        <v>1.0142857142857145</v>
      </c>
      <c r="BF9" s="610" t="e">
        <f t="shared" si="5"/>
        <v>#VALUE!</v>
      </c>
      <c r="BG9" s="610">
        <f t="shared" si="6"/>
        <v>1.7741935483870968E-2</v>
      </c>
      <c r="BH9" s="610">
        <f t="shared" si="7"/>
        <v>6.6666666666666666E-2</v>
      </c>
      <c r="BI9" s="610">
        <f t="shared" si="8"/>
        <v>1.5652173913043477E-3</v>
      </c>
      <c r="BJ9" s="610">
        <f t="shared" si="9"/>
        <v>8.3333333333333329E-2</v>
      </c>
      <c r="BK9" s="610">
        <f t="shared" si="10"/>
        <v>1.1794871794871796E-3</v>
      </c>
      <c r="BL9" s="610">
        <f t="shared" si="11"/>
        <v>8.0658436213991766E-5</v>
      </c>
      <c r="BM9" s="610">
        <f t="shared" si="12"/>
        <v>4.1000000000000005E-4</v>
      </c>
      <c r="BN9" s="563" t="e">
        <f t="shared" si="13"/>
        <v>#VALUE!</v>
      </c>
      <c r="BO9" s="563">
        <f t="shared" si="14"/>
        <v>86.568696340338846</v>
      </c>
      <c r="BP9" s="611" t="e">
        <f t="shared" si="15"/>
        <v>#VALUE!</v>
      </c>
      <c r="BR9" s="564">
        <f t="shared" si="16"/>
        <v>4.4000000000000004</v>
      </c>
      <c r="BS9" s="564">
        <f t="shared" si="17"/>
        <v>1.4190000000000003</v>
      </c>
      <c r="BT9" s="564">
        <f t="shared" si="18"/>
        <v>0.09</v>
      </c>
      <c r="BU9" s="564">
        <f t="shared" si="19"/>
        <v>4.6399999999999997</v>
      </c>
      <c r="BV9" s="564">
        <f t="shared" si="20"/>
        <v>1.4</v>
      </c>
      <c r="BW9" s="564">
        <f t="shared" si="21"/>
        <v>0.18380000000000002</v>
      </c>
      <c r="BX9" s="564">
        <f t="shared" si="0"/>
        <v>2.0999999999999998E-2</v>
      </c>
      <c r="BY9" s="564">
        <f t="shared" si="22"/>
        <v>8.004E-2</v>
      </c>
      <c r="BZ9" s="564">
        <f t="shared" si="23"/>
        <v>1.4028000000000002E-2</v>
      </c>
      <c r="CA9" s="564">
        <f t="shared" si="24"/>
        <v>12.247868</v>
      </c>
      <c r="CB9" s="611">
        <f t="shared" si="25"/>
        <v>0.87484771428571428</v>
      </c>
      <c r="CD9" s="610">
        <f t="shared" si="26"/>
        <v>0.67441860465116277</v>
      </c>
      <c r="CE9" s="610" t="e">
        <f t="shared" si="27"/>
        <v>#VALUE!</v>
      </c>
      <c r="CF9" s="610">
        <f t="shared" si="1"/>
        <v>0.35</v>
      </c>
      <c r="CG9" s="610">
        <f t="shared" si="2"/>
        <v>1.07</v>
      </c>
    </row>
    <row r="10" spans="2:85" ht="20.149999999999999" customHeight="1" x14ac:dyDescent="0.2">
      <c r="B10" s="31" t="s">
        <v>61</v>
      </c>
      <c r="C10" s="32" t="s">
        <v>82</v>
      </c>
      <c r="D10" s="33">
        <v>27</v>
      </c>
      <c r="E10" s="34" t="s">
        <v>63</v>
      </c>
      <c r="F10" s="35">
        <v>0.18</v>
      </c>
      <c r="G10" s="35">
        <v>6.5</v>
      </c>
      <c r="H10" s="36">
        <v>0.13</v>
      </c>
      <c r="I10" s="35">
        <v>2.4</v>
      </c>
      <c r="J10" s="35">
        <v>0.18</v>
      </c>
      <c r="K10" s="35">
        <v>1.2999999999999999E-2</v>
      </c>
      <c r="L10" s="32">
        <v>0.02</v>
      </c>
      <c r="M10" s="34">
        <v>120</v>
      </c>
      <c r="N10" s="35">
        <v>22</v>
      </c>
      <c r="O10" s="35" t="s">
        <v>64</v>
      </c>
      <c r="P10" s="35">
        <v>110</v>
      </c>
      <c r="Q10" s="35">
        <v>7.1</v>
      </c>
      <c r="R10" s="35" t="s">
        <v>65</v>
      </c>
      <c r="S10" s="35">
        <v>3.6</v>
      </c>
      <c r="T10" s="35">
        <v>8.1999999999999993</v>
      </c>
      <c r="U10" s="35">
        <v>1.4</v>
      </c>
      <c r="V10" s="35">
        <v>8.9</v>
      </c>
      <c r="W10" s="35">
        <v>330</v>
      </c>
      <c r="X10" s="35" t="s">
        <v>67</v>
      </c>
      <c r="Y10" s="35">
        <v>3.4</v>
      </c>
      <c r="Z10" s="35">
        <v>6.6</v>
      </c>
      <c r="AA10" s="35">
        <v>70</v>
      </c>
      <c r="AB10" s="35">
        <v>0.36</v>
      </c>
      <c r="AC10" s="35">
        <v>0.78</v>
      </c>
      <c r="AD10" s="35" t="s">
        <v>69</v>
      </c>
      <c r="AE10" s="35">
        <v>1.1000000000000001</v>
      </c>
      <c r="AF10" s="35">
        <v>0.66</v>
      </c>
      <c r="AG10" s="35" t="s">
        <v>70</v>
      </c>
      <c r="AH10" s="35">
        <v>12</v>
      </c>
      <c r="AI10" s="35">
        <v>0.13</v>
      </c>
      <c r="AJ10" s="35">
        <v>0.16</v>
      </c>
      <c r="AK10" s="35" t="s">
        <v>74</v>
      </c>
      <c r="AL10" s="33" t="s">
        <v>75</v>
      </c>
      <c r="AM10" s="33">
        <v>6.0999999999999999E-2</v>
      </c>
      <c r="AN10" s="33" t="s">
        <v>77</v>
      </c>
      <c r="AO10" s="33" t="s">
        <v>70</v>
      </c>
      <c r="AP10" s="35">
        <v>11</v>
      </c>
      <c r="AQ10" s="32" t="s">
        <v>64</v>
      </c>
      <c r="AR10" s="34">
        <v>0.15</v>
      </c>
      <c r="AS10" s="36">
        <v>2.6</v>
      </c>
      <c r="AT10" s="36">
        <v>1.9</v>
      </c>
      <c r="AU10" s="36">
        <v>1.2</v>
      </c>
      <c r="AV10" s="36">
        <v>1.7</v>
      </c>
      <c r="AW10" s="35">
        <v>3.1</v>
      </c>
      <c r="AX10" s="33">
        <v>0.74</v>
      </c>
      <c r="AY10" s="33">
        <v>0.03</v>
      </c>
      <c r="AZ10" s="33">
        <v>7.6</v>
      </c>
      <c r="BA10" s="33">
        <v>2.2000000000000002</v>
      </c>
      <c r="BB10" s="32" t="s">
        <v>64</v>
      </c>
      <c r="BC10" s="619">
        <f t="shared" si="3"/>
        <v>0.99342105263157909</v>
      </c>
      <c r="BD10" s="610">
        <f t="shared" si="4"/>
        <v>0.98636363636363622</v>
      </c>
      <c r="BF10" s="610" t="e">
        <f t="shared" si="5"/>
        <v>#VALUE!</v>
      </c>
      <c r="BG10" s="610">
        <f t="shared" si="6"/>
        <v>2.9032258064516127E-3</v>
      </c>
      <c r="BH10" s="610">
        <f t="shared" si="7"/>
        <v>0.13541666666666666</v>
      </c>
      <c r="BI10" s="610">
        <f t="shared" si="8"/>
        <v>5.6521739130434784E-3</v>
      </c>
      <c r="BJ10" s="610">
        <f t="shared" si="9"/>
        <v>0.13333333333333333</v>
      </c>
      <c r="BK10" s="610">
        <f t="shared" si="10"/>
        <v>4.6153846153846149E-3</v>
      </c>
      <c r="BL10" s="610">
        <f t="shared" si="11"/>
        <v>1.0699588477366254E-3</v>
      </c>
      <c r="BM10" s="610">
        <f t="shared" si="12"/>
        <v>1E-3</v>
      </c>
      <c r="BN10" s="563" t="e">
        <f t="shared" si="13"/>
        <v>#VALUE!</v>
      </c>
      <c r="BO10" s="563">
        <f t="shared" si="14"/>
        <v>145.67085070949804</v>
      </c>
      <c r="BP10" s="611" t="e">
        <f t="shared" si="15"/>
        <v>#VALUE!</v>
      </c>
      <c r="BR10" s="564">
        <f t="shared" si="16"/>
        <v>8.9375</v>
      </c>
      <c r="BS10" s="564">
        <f t="shared" si="17"/>
        <v>0.23219999999999999</v>
      </c>
      <c r="BT10" s="564">
        <f t="shared" si="18"/>
        <v>0.32500000000000001</v>
      </c>
      <c r="BU10" s="564">
        <f t="shared" si="19"/>
        <v>12.16</v>
      </c>
      <c r="BV10" s="564">
        <f t="shared" si="20"/>
        <v>2.2000000000000002</v>
      </c>
      <c r="BW10" s="564">
        <f t="shared" si="21"/>
        <v>0.20218</v>
      </c>
      <c r="BX10" s="564">
        <f t="shared" si="0"/>
        <v>9.9399999999999992E-3</v>
      </c>
      <c r="BY10" s="564">
        <f t="shared" si="22"/>
        <v>0.45539999999999997</v>
      </c>
      <c r="BZ10" s="564">
        <f t="shared" si="23"/>
        <v>6.012E-3</v>
      </c>
      <c r="CA10" s="564">
        <f t="shared" si="24"/>
        <v>24.528231999999996</v>
      </c>
      <c r="CB10" s="611">
        <f t="shared" si="25"/>
        <v>0.90845303703703684</v>
      </c>
      <c r="CD10" s="610">
        <f t="shared" si="26"/>
        <v>0.77551020408163251</v>
      </c>
      <c r="CE10" s="610" t="e">
        <f t="shared" si="27"/>
        <v>#VALUE!</v>
      </c>
      <c r="CF10" s="610">
        <f t="shared" si="1"/>
        <v>1.4000000000000001</v>
      </c>
      <c r="CG10" s="610">
        <f t="shared" si="2"/>
        <v>0.77</v>
      </c>
    </row>
    <row r="11" spans="2:85" ht="20.149999999999999" customHeight="1" thickBot="1" x14ac:dyDescent="0.25">
      <c r="B11" s="39" t="s">
        <v>61</v>
      </c>
      <c r="C11" s="40" t="s">
        <v>201</v>
      </c>
      <c r="D11" s="41">
        <v>25</v>
      </c>
      <c r="E11" s="42" t="s">
        <v>63</v>
      </c>
      <c r="F11" s="43">
        <v>8.5999999999999993E-2</v>
      </c>
      <c r="G11" s="43">
        <v>7.5</v>
      </c>
      <c r="H11" s="44">
        <v>0.12</v>
      </c>
      <c r="I11" s="43">
        <v>2.6</v>
      </c>
      <c r="J11" s="43">
        <v>0.16</v>
      </c>
      <c r="K11" s="43">
        <v>8.6999999999999994E-3</v>
      </c>
      <c r="L11" s="45">
        <v>1.7000000000000001E-2</v>
      </c>
      <c r="M11" s="42">
        <v>110</v>
      </c>
      <c r="N11" s="43">
        <v>18</v>
      </c>
      <c r="O11" s="43" t="s">
        <v>64</v>
      </c>
      <c r="P11" s="43">
        <v>100</v>
      </c>
      <c r="Q11" s="43">
        <v>5.8</v>
      </c>
      <c r="R11" s="43" t="s">
        <v>65</v>
      </c>
      <c r="S11" s="43">
        <v>2.6</v>
      </c>
      <c r="T11" s="43">
        <v>5.0999999999999996</v>
      </c>
      <c r="U11" s="43">
        <v>0.76</v>
      </c>
      <c r="V11" s="43">
        <v>4.3</v>
      </c>
      <c r="W11" s="43">
        <v>83</v>
      </c>
      <c r="X11" s="43" t="s">
        <v>67</v>
      </c>
      <c r="Y11" s="43">
        <v>1.4</v>
      </c>
      <c r="Z11" s="43">
        <v>4.7</v>
      </c>
      <c r="AA11" s="43">
        <v>120</v>
      </c>
      <c r="AB11" s="43">
        <v>0.3</v>
      </c>
      <c r="AC11" s="43">
        <v>0.74</v>
      </c>
      <c r="AD11" s="43" t="s">
        <v>69</v>
      </c>
      <c r="AE11" s="43">
        <v>1.4</v>
      </c>
      <c r="AF11" s="43">
        <v>1.1000000000000001</v>
      </c>
      <c r="AG11" s="43" t="s">
        <v>70</v>
      </c>
      <c r="AH11" s="43">
        <v>6.1</v>
      </c>
      <c r="AI11" s="43">
        <v>0.1</v>
      </c>
      <c r="AJ11" s="43">
        <v>4.2000000000000003E-2</v>
      </c>
      <c r="AK11" s="43" t="s">
        <v>74</v>
      </c>
      <c r="AL11" s="41" t="s">
        <v>75</v>
      </c>
      <c r="AM11" s="41" t="s">
        <v>76</v>
      </c>
      <c r="AN11" s="41" t="s">
        <v>77</v>
      </c>
      <c r="AO11" s="41" t="s">
        <v>70</v>
      </c>
      <c r="AP11" s="43">
        <v>7.8</v>
      </c>
      <c r="AQ11" s="45" t="s">
        <v>64</v>
      </c>
      <c r="AR11" s="42">
        <v>0.1</v>
      </c>
      <c r="AS11" s="44">
        <v>2.1</v>
      </c>
      <c r="AT11" s="44">
        <v>1.5</v>
      </c>
      <c r="AU11" s="44">
        <v>0.94</v>
      </c>
      <c r="AV11" s="44">
        <v>1.6</v>
      </c>
      <c r="AW11" s="43">
        <v>2.7</v>
      </c>
      <c r="AX11" s="41">
        <v>0.74</v>
      </c>
      <c r="AY11" s="41">
        <v>0.05</v>
      </c>
      <c r="AZ11" s="41">
        <v>6.2</v>
      </c>
      <c r="BA11" s="41">
        <v>1.9</v>
      </c>
      <c r="BB11" s="45" t="s">
        <v>64</v>
      </c>
      <c r="BC11" s="620">
        <f t="shared" si="3"/>
        <v>1.0064516129032257</v>
      </c>
      <c r="BD11" s="617">
        <f t="shared" si="4"/>
        <v>0.99473684210526325</v>
      </c>
      <c r="BE11" s="616"/>
      <c r="BF11" s="617" t="e">
        <f t="shared" si="5"/>
        <v>#VALUE!</v>
      </c>
      <c r="BG11" s="617">
        <f t="shared" si="6"/>
        <v>1.3870967741935482E-3</v>
      </c>
      <c r="BH11" s="617">
        <f t="shared" si="7"/>
        <v>0.15625</v>
      </c>
      <c r="BI11" s="617">
        <f t="shared" si="8"/>
        <v>5.2173913043478256E-3</v>
      </c>
      <c r="BJ11" s="617">
        <f t="shared" si="9"/>
        <v>0.14444444444444446</v>
      </c>
      <c r="BK11" s="617">
        <f t="shared" si="10"/>
        <v>4.1025641025641026E-3</v>
      </c>
      <c r="BL11" s="617">
        <f t="shared" si="11"/>
        <v>7.1604938271604935E-4</v>
      </c>
      <c r="BM11" s="617">
        <f t="shared" si="12"/>
        <v>8.5000000000000006E-4</v>
      </c>
      <c r="BN11" s="621" t="e">
        <f t="shared" si="13"/>
        <v>#VALUE!</v>
      </c>
      <c r="BO11" s="621">
        <f t="shared" si="14"/>
        <v>155.3304492340724</v>
      </c>
      <c r="BP11" s="618" t="e">
        <f t="shared" si="15"/>
        <v>#VALUE!</v>
      </c>
      <c r="BQ11" s="616"/>
      <c r="BR11" s="615">
        <f t="shared" si="16"/>
        <v>10.3125</v>
      </c>
      <c r="BS11" s="615">
        <f t="shared" si="17"/>
        <v>0.11094</v>
      </c>
      <c r="BT11" s="615">
        <f t="shared" si="18"/>
        <v>0.3</v>
      </c>
      <c r="BU11" s="615">
        <f t="shared" si="19"/>
        <v>9.9200000000000017</v>
      </c>
      <c r="BV11" s="615">
        <f t="shared" si="20"/>
        <v>1.9</v>
      </c>
      <c r="BW11" s="615">
        <f t="shared" si="21"/>
        <v>0.16542000000000001</v>
      </c>
      <c r="BX11" s="615">
        <f t="shared" si="0"/>
        <v>8.1199999999999987E-3</v>
      </c>
      <c r="BY11" s="615">
        <f t="shared" si="22"/>
        <v>0.11454</v>
      </c>
      <c r="BZ11" s="615">
        <f t="shared" si="23"/>
        <v>4.3419999999999995E-3</v>
      </c>
      <c r="CA11" s="615">
        <f t="shared" si="24"/>
        <v>22.835862000000006</v>
      </c>
      <c r="CB11" s="618">
        <f t="shared" si="25"/>
        <v>0.91343448000000027</v>
      </c>
      <c r="CC11" s="617"/>
      <c r="CD11" s="617">
        <f t="shared" si="26"/>
        <v>0.76543209876543217</v>
      </c>
      <c r="CE11" s="617" t="e">
        <f t="shared" si="27"/>
        <v>#VALUE!</v>
      </c>
      <c r="CF11" s="617">
        <f t="shared" si="1"/>
        <v>1.1000000000000001</v>
      </c>
      <c r="CG11" s="617">
        <f t="shared" si="2"/>
        <v>0.79</v>
      </c>
    </row>
    <row r="12" spans="2:85" ht="20.149999999999999" customHeight="1" x14ac:dyDescent="0.2">
      <c r="B12" s="31" t="s">
        <v>202</v>
      </c>
      <c r="C12" s="46" t="s">
        <v>203</v>
      </c>
      <c r="D12" s="47">
        <v>21</v>
      </c>
      <c r="E12" s="630">
        <f t="shared" ref="E12:E18" si="28">0.5*0.046</f>
        <v>2.3E-2</v>
      </c>
      <c r="F12" s="49">
        <v>0.59</v>
      </c>
      <c r="G12" s="49">
        <v>7</v>
      </c>
      <c r="H12" s="50">
        <v>0.23</v>
      </c>
      <c r="I12" s="49">
        <v>2.6</v>
      </c>
      <c r="J12" s="49">
        <v>9.0999999999999998E-2</v>
      </c>
      <c r="K12" s="49">
        <v>1.6E-2</v>
      </c>
      <c r="L12" s="37">
        <v>1.7999999999999999E-2</v>
      </c>
      <c r="M12" s="48">
        <v>190</v>
      </c>
      <c r="N12" s="49">
        <v>11</v>
      </c>
      <c r="O12" s="49" t="s">
        <v>64</v>
      </c>
      <c r="P12" s="49">
        <v>57</v>
      </c>
      <c r="Q12" s="49">
        <v>6.9</v>
      </c>
      <c r="R12" s="625">
        <f t="shared" ref="R12:R18" si="29">0.5*0.029</f>
        <v>1.4500000000000001E-2</v>
      </c>
      <c r="S12" s="49">
        <v>2.2999999999999998</v>
      </c>
      <c r="T12" s="49">
        <v>5.5</v>
      </c>
      <c r="U12" s="49">
        <v>0.65</v>
      </c>
      <c r="V12" s="49">
        <v>3.6</v>
      </c>
      <c r="W12" s="49">
        <v>65</v>
      </c>
      <c r="X12" s="625">
        <f>0.5*0.11</f>
        <v>5.5E-2</v>
      </c>
      <c r="Y12" s="49">
        <v>1.9</v>
      </c>
      <c r="Z12" s="49">
        <v>2.9</v>
      </c>
      <c r="AA12" s="49">
        <v>44</v>
      </c>
      <c r="AB12" s="49">
        <v>0.3</v>
      </c>
      <c r="AC12" s="49">
        <v>0.45</v>
      </c>
      <c r="AD12" s="625">
        <f>0.5*1.4</f>
        <v>0.7</v>
      </c>
      <c r="AE12" s="49">
        <v>0.87</v>
      </c>
      <c r="AF12" s="49">
        <v>1.8</v>
      </c>
      <c r="AG12" s="625">
        <f t="shared" ref="AG12:AG18" si="30">0.5*0.079</f>
        <v>3.95E-2</v>
      </c>
      <c r="AH12" s="49">
        <v>2.4</v>
      </c>
      <c r="AI12" s="49">
        <v>4.2000000000000003E-2</v>
      </c>
      <c r="AJ12" s="625">
        <f>0.5*0.018</f>
        <v>8.9999999999999993E-3</v>
      </c>
      <c r="AK12" s="625">
        <f t="shared" ref="AK12:AK18" si="31">0.5*0.035</f>
        <v>1.7500000000000002E-2</v>
      </c>
      <c r="AL12" s="627">
        <f t="shared" ref="AL12:AL18" si="32">0.5*0.02</f>
        <v>0.01</v>
      </c>
      <c r="AM12" s="627">
        <f>0.5*0.04</f>
        <v>0.02</v>
      </c>
      <c r="AN12" s="627">
        <f>0.5*0.028</f>
        <v>1.4E-2</v>
      </c>
      <c r="AO12" s="627">
        <f t="shared" ref="AO12:AO18" si="33">0.5*0.079</f>
        <v>3.95E-2</v>
      </c>
      <c r="AP12" s="49">
        <v>5.7</v>
      </c>
      <c r="AQ12" s="37" t="s">
        <v>64</v>
      </c>
      <c r="AR12" s="48">
        <v>0</v>
      </c>
      <c r="AS12" s="50">
        <v>1.2</v>
      </c>
      <c r="AT12" s="50">
        <v>0.97</v>
      </c>
      <c r="AU12" s="50">
        <v>0.62</v>
      </c>
      <c r="AV12" s="50">
        <v>1.1000000000000001</v>
      </c>
      <c r="AW12" s="49">
        <v>1.8</v>
      </c>
      <c r="AX12" s="47">
        <v>0.75</v>
      </c>
      <c r="AY12" s="47">
        <v>0.05</v>
      </c>
      <c r="AZ12" s="47">
        <v>3.9</v>
      </c>
      <c r="BA12" s="47">
        <v>1.5</v>
      </c>
      <c r="BB12" s="37" t="s">
        <v>64</v>
      </c>
      <c r="BC12" s="619">
        <f t="shared" si="3"/>
        <v>0.99743589743589745</v>
      </c>
      <c r="BD12" s="610">
        <f t="shared" si="4"/>
        <v>0.99999999999999967</v>
      </c>
      <c r="BF12" s="610">
        <f t="shared" si="5"/>
        <v>6.4788732394366192E-4</v>
      </c>
      <c r="BG12" s="610">
        <f t="shared" si="6"/>
        <v>9.5161290322580642E-3</v>
      </c>
      <c r="BH12" s="610">
        <f t="shared" si="7"/>
        <v>0.14583333333333334</v>
      </c>
      <c r="BI12" s="610">
        <f t="shared" si="8"/>
        <v>0.01</v>
      </c>
      <c r="BJ12" s="610">
        <f t="shared" si="9"/>
        <v>0.14444444444444446</v>
      </c>
      <c r="BK12" s="610">
        <f t="shared" si="10"/>
        <v>2.3333333333333331E-3</v>
      </c>
      <c r="BL12" s="610">
        <f t="shared" si="11"/>
        <v>1.316872427983539E-3</v>
      </c>
      <c r="BM12" s="610">
        <f t="shared" si="12"/>
        <v>8.9999999999999998E-4</v>
      </c>
      <c r="BN12" s="563">
        <f t="shared" si="13"/>
        <v>155.99734968953507</v>
      </c>
      <c r="BO12" s="563">
        <f t="shared" si="14"/>
        <v>158.99465020576133</v>
      </c>
      <c r="BP12" s="611">
        <f t="shared" si="15"/>
        <v>0.98114841906726213</v>
      </c>
      <c r="BR12" s="564">
        <f t="shared" si="16"/>
        <v>9.625</v>
      </c>
      <c r="BS12" s="564">
        <f t="shared" si="17"/>
        <v>0.7611</v>
      </c>
      <c r="BT12" s="564">
        <f t="shared" si="18"/>
        <v>0.57500000000000007</v>
      </c>
      <c r="BU12" s="564">
        <f t="shared" si="19"/>
        <v>6.24</v>
      </c>
      <c r="BV12" s="564">
        <f t="shared" si="20"/>
        <v>1.5</v>
      </c>
      <c r="BW12" s="564">
        <f t="shared" si="21"/>
        <v>0.10109</v>
      </c>
      <c r="BX12" s="564">
        <f t="shared" si="0"/>
        <v>9.6600000000000002E-3</v>
      </c>
      <c r="BY12" s="564">
        <f t="shared" si="22"/>
        <v>8.9700000000000002E-2</v>
      </c>
      <c r="BZ12" s="564">
        <f t="shared" si="23"/>
        <v>3.8409999999999998E-3</v>
      </c>
      <c r="CA12" s="564">
        <f t="shared" si="24"/>
        <v>18.905391000000002</v>
      </c>
      <c r="CB12" s="611">
        <f t="shared" si="25"/>
        <v>0.90025671428571441</v>
      </c>
      <c r="CC12" s="610"/>
      <c r="CD12" s="610">
        <f t="shared" si="26"/>
        <v>0.72222222222222221</v>
      </c>
      <c r="CE12" s="610" t="e">
        <f t="shared" si="27"/>
        <v>#VALUE!</v>
      </c>
      <c r="CF12" s="610">
        <f t="shared" si="1"/>
        <v>0.7</v>
      </c>
      <c r="CG12" s="610">
        <f t="shared" si="2"/>
        <v>0.8</v>
      </c>
    </row>
    <row r="13" spans="2:85" ht="20.149999999999999" customHeight="1" x14ac:dyDescent="0.2">
      <c r="B13" s="31" t="s">
        <v>202</v>
      </c>
      <c r="C13" s="40" t="s">
        <v>204</v>
      </c>
      <c r="D13" s="33">
        <v>25</v>
      </c>
      <c r="E13" s="623">
        <f t="shared" si="28"/>
        <v>2.3E-2</v>
      </c>
      <c r="F13" s="35">
        <v>0.11</v>
      </c>
      <c r="G13" s="35">
        <v>9.1999999999999993</v>
      </c>
      <c r="H13" s="36">
        <v>0.15</v>
      </c>
      <c r="I13" s="35">
        <v>3.3</v>
      </c>
      <c r="J13" s="35">
        <v>9.9000000000000005E-2</v>
      </c>
      <c r="K13" s="35">
        <v>7.1000000000000004E-3</v>
      </c>
      <c r="L13" s="32">
        <v>1.7999999999999999E-2</v>
      </c>
      <c r="M13" s="34">
        <v>77</v>
      </c>
      <c r="N13" s="624">
        <f>0.5*2.5</f>
        <v>1.25</v>
      </c>
      <c r="O13" s="35" t="s">
        <v>64</v>
      </c>
      <c r="P13" s="35">
        <v>36</v>
      </c>
      <c r="Q13" s="624">
        <f>0.5*2.1</f>
        <v>1.05</v>
      </c>
      <c r="R13" s="624">
        <f t="shared" si="29"/>
        <v>1.4500000000000001E-2</v>
      </c>
      <c r="S13" s="35">
        <v>0.95</v>
      </c>
      <c r="T13" s="35">
        <v>2.9</v>
      </c>
      <c r="U13" s="624">
        <f>0.5*0.12</f>
        <v>0.06</v>
      </c>
      <c r="V13" s="35">
        <v>2.5</v>
      </c>
      <c r="W13" s="35">
        <v>34</v>
      </c>
      <c r="X13" s="624">
        <f>0.5*0.11</f>
        <v>5.5E-2</v>
      </c>
      <c r="Y13" s="35">
        <v>0.4</v>
      </c>
      <c r="Z13" s="35">
        <v>2.7</v>
      </c>
      <c r="AA13" s="35">
        <v>29</v>
      </c>
      <c r="AB13" s="35">
        <v>0.46</v>
      </c>
      <c r="AC13" s="35">
        <v>0.28999999999999998</v>
      </c>
      <c r="AD13" s="624">
        <f>0.5*1.4</f>
        <v>0.7</v>
      </c>
      <c r="AE13" s="35">
        <v>0.7</v>
      </c>
      <c r="AF13" s="35">
        <v>0.4</v>
      </c>
      <c r="AG13" s="624">
        <f t="shared" si="30"/>
        <v>3.95E-2</v>
      </c>
      <c r="AH13" s="624">
        <f>0.5*2.3</f>
        <v>1.1499999999999999</v>
      </c>
      <c r="AI13" s="624">
        <f>0.5*0.038</f>
        <v>1.9E-2</v>
      </c>
      <c r="AJ13" s="624">
        <f>0.5*0.018</f>
        <v>8.9999999999999993E-3</v>
      </c>
      <c r="AK13" s="624">
        <f t="shared" si="31"/>
        <v>1.7500000000000002E-2</v>
      </c>
      <c r="AL13" s="628">
        <f t="shared" si="32"/>
        <v>0.01</v>
      </c>
      <c r="AM13" s="628">
        <f>0.5*0.04</f>
        <v>0.02</v>
      </c>
      <c r="AN13" s="628">
        <f>0.5*0.028</f>
        <v>1.4E-2</v>
      </c>
      <c r="AO13" s="628">
        <f t="shared" si="33"/>
        <v>3.95E-2</v>
      </c>
      <c r="AP13" s="35">
        <v>6</v>
      </c>
      <c r="AQ13" s="32" t="s">
        <v>64</v>
      </c>
      <c r="AR13" s="34">
        <v>0</v>
      </c>
      <c r="AS13" s="36">
        <v>1.6</v>
      </c>
      <c r="AT13" s="36">
        <v>1</v>
      </c>
      <c r="AU13" s="36">
        <v>0.64</v>
      </c>
      <c r="AV13" s="36">
        <v>1.4</v>
      </c>
      <c r="AW13" s="35">
        <v>1.7</v>
      </c>
      <c r="AX13" s="33">
        <v>1.2</v>
      </c>
      <c r="AY13" s="33">
        <v>5.5E-2</v>
      </c>
      <c r="AZ13" s="33">
        <v>4.5999999999999996</v>
      </c>
      <c r="BA13" s="33">
        <v>1.6</v>
      </c>
      <c r="BB13" s="32" t="s">
        <v>64</v>
      </c>
      <c r="BC13" s="619">
        <f t="shared" si="3"/>
        <v>1.0086956521739132</v>
      </c>
      <c r="BD13" s="610">
        <f t="shared" si="4"/>
        <v>0.97187500000000004</v>
      </c>
      <c r="BF13" s="610">
        <f t="shared" si="5"/>
        <v>6.4788732394366192E-4</v>
      </c>
      <c r="BG13" s="610">
        <f t="shared" si="6"/>
        <v>1.7741935483870969E-3</v>
      </c>
      <c r="BH13" s="610">
        <f t="shared" si="7"/>
        <v>0.19166666666666665</v>
      </c>
      <c r="BI13" s="610">
        <f t="shared" si="8"/>
        <v>6.5217391304347823E-3</v>
      </c>
      <c r="BJ13" s="610">
        <f t="shared" si="9"/>
        <v>0.18333333333333332</v>
      </c>
      <c r="BK13" s="610">
        <f t="shared" si="10"/>
        <v>2.5384615384615385E-3</v>
      </c>
      <c r="BL13" s="610">
        <f t="shared" si="11"/>
        <v>5.8436213991769554E-4</v>
      </c>
      <c r="BM13" s="610">
        <f t="shared" si="12"/>
        <v>8.9999999999999998E-4</v>
      </c>
      <c r="BN13" s="563">
        <f t="shared" si="13"/>
        <v>194.08874753899741</v>
      </c>
      <c r="BO13" s="563">
        <f t="shared" si="14"/>
        <v>193.87789614214734</v>
      </c>
      <c r="BP13" s="611">
        <f t="shared" si="15"/>
        <v>1.0010875473741241</v>
      </c>
      <c r="BR13" s="564">
        <f t="shared" si="16"/>
        <v>12.649999999999999</v>
      </c>
      <c r="BS13" s="564">
        <f t="shared" si="17"/>
        <v>0.1419</v>
      </c>
      <c r="BT13" s="564">
        <f t="shared" si="18"/>
        <v>0.375</v>
      </c>
      <c r="BU13" s="564">
        <f t="shared" si="19"/>
        <v>7.3599999999999994</v>
      </c>
      <c r="BV13" s="564">
        <f t="shared" si="20"/>
        <v>1.6</v>
      </c>
      <c r="BW13" s="564">
        <f t="shared" si="21"/>
        <v>1.1487500000000001E-2</v>
      </c>
      <c r="BX13" s="564">
        <f t="shared" si="0"/>
        <v>1.4700000000000002E-3</v>
      </c>
      <c r="BY13" s="564">
        <f t="shared" si="22"/>
        <v>4.6919999999999996E-2</v>
      </c>
      <c r="BZ13" s="564">
        <f t="shared" si="23"/>
        <v>1.5865E-3</v>
      </c>
      <c r="CA13" s="564">
        <f t="shared" si="24"/>
        <v>22.188364</v>
      </c>
      <c r="CB13" s="611">
        <f t="shared" si="25"/>
        <v>0.88753455999999997</v>
      </c>
      <c r="CC13" s="610"/>
      <c r="CD13" s="610">
        <f t="shared" si="26"/>
        <v>0.74193548387096775</v>
      </c>
      <c r="CE13" s="610" t="e">
        <f t="shared" si="27"/>
        <v>#VALUE!</v>
      </c>
      <c r="CF13" s="610">
        <f t="shared" ref="CF13:CF20" si="34">IF(AW13-AV13&gt;0,AW13-AV13,0)</f>
        <v>0.30000000000000004</v>
      </c>
      <c r="CG13" s="610">
        <f t="shared" ref="CG13:CG20" si="35">IF(AW13-AV13&gt;0,AX13+AY13,AW13+AX13+AY13-AV13)</f>
        <v>1.2549999999999999</v>
      </c>
    </row>
    <row r="14" spans="2:85" ht="20.149999999999999" customHeight="1" x14ac:dyDescent="0.2">
      <c r="B14" s="31" t="s">
        <v>202</v>
      </c>
      <c r="C14" s="32" t="s">
        <v>205</v>
      </c>
      <c r="D14" s="33">
        <v>18</v>
      </c>
      <c r="E14" s="623">
        <f t="shared" si="28"/>
        <v>2.3E-2</v>
      </c>
      <c r="F14" s="35">
        <v>7.3999999999999996E-2</v>
      </c>
      <c r="G14" s="35">
        <v>6.2</v>
      </c>
      <c r="H14" s="36">
        <v>0.1</v>
      </c>
      <c r="I14" s="35">
        <v>2.2000000000000002</v>
      </c>
      <c r="J14" s="35">
        <v>7.9000000000000001E-2</v>
      </c>
      <c r="K14" s="35">
        <v>6.6E-3</v>
      </c>
      <c r="L14" s="32">
        <v>1.6E-2</v>
      </c>
      <c r="M14" s="34">
        <v>96</v>
      </c>
      <c r="N14" s="35">
        <v>35</v>
      </c>
      <c r="O14" s="35" t="s">
        <v>64</v>
      </c>
      <c r="P14" s="35">
        <v>55</v>
      </c>
      <c r="Q14" s="35">
        <v>8.4</v>
      </c>
      <c r="R14" s="624">
        <f t="shared" si="29"/>
        <v>1.4500000000000001E-2</v>
      </c>
      <c r="S14" s="35">
        <v>3.6</v>
      </c>
      <c r="T14" s="35">
        <v>3.6</v>
      </c>
      <c r="U14" s="35">
        <v>3.6</v>
      </c>
      <c r="V14" s="35">
        <v>3.4</v>
      </c>
      <c r="W14" s="35">
        <v>79</v>
      </c>
      <c r="X14" s="624">
        <f>0.5*0.11</f>
        <v>5.5E-2</v>
      </c>
      <c r="Y14" s="35">
        <v>1.8</v>
      </c>
      <c r="Z14" s="35">
        <v>2.9</v>
      </c>
      <c r="AA14" s="35">
        <v>29</v>
      </c>
      <c r="AB14" s="35">
        <v>0.53</v>
      </c>
      <c r="AC14" s="35">
        <v>0.37</v>
      </c>
      <c r="AD14" s="624">
        <f>0.5*1.4</f>
        <v>0.7</v>
      </c>
      <c r="AE14" s="35">
        <v>0.83</v>
      </c>
      <c r="AF14" s="35">
        <v>0.81</v>
      </c>
      <c r="AG14" s="624">
        <f t="shared" si="30"/>
        <v>3.95E-2</v>
      </c>
      <c r="AH14" s="35">
        <v>2.8</v>
      </c>
      <c r="AI14" s="35">
        <v>0.04</v>
      </c>
      <c r="AJ14" s="624">
        <f>0.5*0.018</f>
        <v>8.9999999999999993E-3</v>
      </c>
      <c r="AK14" s="624">
        <f t="shared" si="31"/>
        <v>1.7500000000000002E-2</v>
      </c>
      <c r="AL14" s="628">
        <f t="shared" si="32"/>
        <v>0.01</v>
      </c>
      <c r="AM14" s="33">
        <v>2.9</v>
      </c>
      <c r="AN14" s="628">
        <f>0.5*0.028</f>
        <v>1.4E-2</v>
      </c>
      <c r="AO14" s="628">
        <f t="shared" si="33"/>
        <v>3.95E-2</v>
      </c>
      <c r="AP14" s="35">
        <v>7</v>
      </c>
      <c r="AQ14" s="32" t="s">
        <v>64</v>
      </c>
      <c r="AR14" s="34">
        <v>0</v>
      </c>
      <c r="AS14" s="36">
        <v>1</v>
      </c>
      <c r="AT14" s="36">
        <v>0.84</v>
      </c>
      <c r="AU14" s="36">
        <v>0.52</v>
      </c>
      <c r="AV14" s="36">
        <v>0.8</v>
      </c>
      <c r="AW14" s="35">
        <v>1.4</v>
      </c>
      <c r="AX14" s="33">
        <v>0.84</v>
      </c>
      <c r="AY14" s="33">
        <v>0.06</v>
      </c>
      <c r="AZ14" s="33">
        <v>3.2</v>
      </c>
      <c r="BA14" s="33">
        <v>1.5</v>
      </c>
      <c r="BB14" s="32" t="s">
        <v>64</v>
      </c>
      <c r="BC14" s="619">
        <f t="shared" si="3"/>
        <v>0.98750000000000004</v>
      </c>
      <c r="BD14" s="610">
        <f t="shared" si="4"/>
        <v>0.99999999999999989</v>
      </c>
      <c r="BF14" s="610">
        <f t="shared" si="5"/>
        <v>6.4788732394366192E-4</v>
      </c>
      <c r="BG14" s="610">
        <f t="shared" si="6"/>
        <v>1.1935483870967741E-3</v>
      </c>
      <c r="BH14" s="610">
        <f t="shared" si="7"/>
        <v>0.12916666666666668</v>
      </c>
      <c r="BI14" s="610">
        <f t="shared" si="8"/>
        <v>4.3478260869565218E-3</v>
      </c>
      <c r="BJ14" s="610">
        <f t="shared" si="9"/>
        <v>0.12222222222222223</v>
      </c>
      <c r="BK14" s="610">
        <f t="shared" si="10"/>
        <v>2.0256410256410257E-3</v>
      </c>
      <c r="BL14" s="610">
        <f t="shared" si="11"/>
        <v>5.4320987654320988E-4</v>
      </c>
      <c r="BM14" s="610">
        <f t="shared" si="12"/>
        <v>8.0000000000000004E-4</v>
      </c>
      <c r="BN14" s="563">
        <f t="shared" si="13"/>
        <v>131.0081023777071</v>
      </c>
      <c r="BO14" s="563">
        <f t="shared" si="14"/>
        <v>129.93889921136301</v>
      </c>
      <c r="BP14" s="611">
        <f t="shared" si="15"/>
        <v>1.0082285071894053</v>
      </c>
      <c r="BR14" s="564">
        <f t="shared" si="16"/>
        <v>8.5250000000000004</v>
      </c>
      <c r="BS14" s="564">
        <f t="shared" si="17"/>
        <v>9.5460000000000003E-2</v>
      </c>
      <c r="BT14" s="564">
        <f t="shared" si="18"/>
        <v>0.25</v>
      </c>
      <c r="BU14" s="564">
        <f t="shared" si="19"/>
        <v>5.120000000000001</v>
      </c>
      <c r="BV14" s="564">
        <f t="shared" si="20"/>
        <v>1.5</v>
      </c>
      <c r="BW14" s="564">
        <f t="shared" si="21"/>
        <v>0.32164999999999999</v>
      </c>
      <c r="BX14" s="564">
        <f t="shared" si="0"/>
        <v>1.1760000000000001E-2</v>
      </c>
      <c r="BY14" s="564">
        <f t="shared" si="22"/>
        <v>0.10901999999999999</v>
      </c>
      <c r="BZ14" s="564">
        <f t="shared" si="23"/>
        <v>6.012E-3</v>
      </c>
      <c r="CA14" s="564">
        <f t="shared" si="24"/>
        <v>15.938902000000001</v>
      </c>
      <c r="CB14" s="611">
        <f t="shared" si="25"/>
        <v>0.88549455555555556</v>
      </c>
      <c r="CC14" s="610"/>
      <c r="CD14" s="610">
        <f t="shared" si="26"/>
        <v>0.68085106382978722</v>
      </c>
      <c r="CE14" s="610" t="e">
        <f t="shared" si="27"/>
        <v>#VALUE!</v>
      </c>
      <c r="CF14" s="610">
        <f t="shared" si="34"/>
        <v>0.59999999999999987</v>
      </c>
      <c r="CG14" s="610">
        <f t="shared" si="35"/>
        <v>0.89999999999999991</v>
      </c>
    </row>
    <row r="15" spans="2:85" ht="20.149999999999999" customHeight="1" x14ac:dyDescent="0.2">
      <c r="B15" s="31" t="s">
        <v>202</v>
      </c>
      <c r="C15" s="32" t="s">
        <v>206</v>
      </c>
      <c r="D15" s="33">
        <v>20</v>
      </c>
      <c r="E15" s="623">
        <f t="shared" si="28"/>
        <v>2.3E-2</v>
      </c>
      <c r="F15" s="35">
        <v>0.2</v>
      </c>
      <c r="G15" s="35">
        <v>7</v>
      </c>
      <c r="H15" s="36">
        <v>6.6000000000000003E-2</v>
      </c>
      <c r="I15" s="35">
        <v>2.6</v>
      </c>
      <c r="J15" s="35">
        <v>0.12</v>
      </c>
      <c r="K15" s="35">
        <v>3.2000000000000002E-3</v>
      </c>
      <c r="L15" s="32">
        <v>1.7000000000000001E-2</v>
      </c>
      <c r="M15" s="34">
        <v>67</v>
      </c>
      <c r="N15" s="35">
        <v>18</v>
      </c>
      <c r="O15" s="35" t="s">
        <v>64</v>
      </c>
      <c r="P15" s="35">
        <v>77</v>
      </c>
      <c r="Q15" s="35">
        <v>4.7</v>
      </c>
      <c r="R15" s="624">
        <f t="shared" si="29"/>
        <v>1.4500000000000001E-2</v>
      </c>
      <c r="S15" s="35">
        <v>3.3</v>
      </c>
      <c r="T15" s="35">
        <v>3.2</v>
      </c>
      <c r="U15" s="35">
        <v>0.68</v>
      </c>
      <c r="V15" s="35">
        <v>5.6</v>
      </c>
      <c r="W15" s="35">
        <v>80</v>
      </c>
      <c r="X15" s="35">
        <v>0.12</v>
      </c>
      <c r="Y15" s="35">
        <v>1.5</v>
      </c>
      <c r="Z15" s="35">
        <v>3.4</v>
      </c>
      <c r="AA15" s="35">
        <v>42</v>
      </c>
      <c r="AB15" s="35">
        <v>0.51</v>
      </c>
      <c r="AC15" s="35">
        <v>0.45</v>
      </c>
      <c r="AD15" s="624">
        <f>0.5*1.4</f>
        <v>0.7</v>
      </c>
      <c r="AE15" s="35">
        <v>0.89</v>
      </c>
      <c r="AF15" s="35">
        <v>0.83</v>
      </c>
      <c r="AG15" s="624">
        <f t="shared" si="30"/>
        <v>3.95E-2</v>
      </c>
      <c r="AH15" s="35">
        <v>3.4</v>
      </c>
      <c r="AI15" s="35">
        <v>6.7000000000000004E-2</v>
      </c>
      <c r="AJ15" s="35">
        <v>4.3999999999999997E-2</v>
      </c>
      <c r="AK15" s="624">
        <f t="shared" si="31"/>
        <v>1.7500000000000002E-2</v>
      </c>
      <c r="AL15" s="628">
        <f t="shared" si="32"/>
        <v>0.01</v>
      </c>
      <c r="AM15" s="33">
        <v>3.2</v>
      </c>
      <c r="AN15" s="628">
        <f>0.5*0.028</f>
        <v>1.4E-2</v>
      </c>
      <c r="AO15" s="628">
        <f t="shared" si="33"/>
        <v>3.95E-2</v>
      </c>
      <c r="AP15" s="35">
        <v>13</v>
      </c>
      <c r="AQ15" s="32" t="s">
        <v>64</v>
      </c>
      <c r="AR15" s="34">
        <v>0</v>
      </c>
      <c r="AS15" s="36">
        <v>1.2</v>
      </c>
      <c r="AT15" s="36">
        <v>0.95</v>
      </c>
      <c r="AU15" s="36">
        <v>0.62</v>
      </c>
      <c r="AV15" s="36">
        <v>0.97</v>
      </c>
      <c r="AW15" s="35">
        <v>1.8</v>
      </c>
      <c r="AX15" s="33">
        <v>0.99</v>
      </c>
      <c r="AY15" s="33">
        <v>5.5E-2</v>
      </c>
      <c r="AZ15" s="33">
        <v>3.7</v>
      </c>
      <c r="BA15" s="33">
        <v>1.9</v>
      </c>
      <c r="BB15" s="32" t="s">
        <v>64</v>
      </c>
      <c r="BC15" s="619">
        <f t="shared" si="3"/>
        <v>1.0108108108108109</v>
      </c>
      <c r="BD15" s="610">
        <f t="shared" si="4"/>
        <v>0.98684210526315808</v>
      </c>
      <c r="BF15" s="610">
        <f t="shared" si="5"/>
        <v>6.4788732394366192E-4</v>
      </c>
      <c r="BG15" s="610">
        <f t="shared" si="6"/>
        <v>3.2258064516129032E-3</v>
      </c>
      <c r="BH15" s="610">
        <f t="shared" si="7"/>
        <v>0.14583333333333334</v>
      </c>
      <c r="BI15" s="610">
        <f t="shared" si="8"/>
        <v>2.8695652173913043E-3</v>
      </c>
      <c r="BJ15" s="610">
        <f t="shared" si="9"/>
        <v>0.14444444444444446</v>
      </c>
      <c r="BK15" s="610">
        <f t="shared" si="10"/>
        <v>3.0769230769230769E-3</v>
      </c>
      <c r="BL15" s="610">
        <f t="shared" si="11"/>
        <v>2.6337448559670784E-4</v>
      </c>
      <c r="BM15" s="610">
        <f t="shared" si="12"/>
        <v>8.5000000000000006E-4</v>
      </c>
      <c r="BN15" s="563">
        <f t="shared" si="13"/>
        <v>149.70702710888992</v>
      </c>
      <c r="BO15" s="563">
        <f t="shared" si="14"/>
        <v>151.50430722435556</v>
      </c>
      <c r="BP15" s="611">
        <f t="shared" si="15"/>
        <v>0.98813710218281692</v>
      </c>
      <c r="BR15" s="564">
        <f t="shared" si="16"/>
        <v>9.625</v>
      </c>
      <c r="BS15" s="564">
        <f t="shared" si="17"/>
        <v>0.25800000000000001</v>
      </c>
      <c r="BT15" s="564">
        <f t="shared" si="18"/>
        <v>0.16500000000000001</v>
      </c>
      <c r="BU15" s="564">
        <f t="shared" si="19"/>
        <v>5.9200000000000008</v>
      </c>
      <c r="BV15" s="564">
        <f t="shared" si="20"/>
        <v>1.9</v>
      </c>
      <c r="BW15" s="564">
        <f t="shared" si="21"/>
        <v>0.16542000000000001</v>
      </c>
      <c r="BX15" s="564">
        <f t="shared" si="0"/>
        <v>6.5799999999999999E-3</v>
      </c>
      <c r="BY15" s="564">
        <f t="shared" si="22"/>
        <v>0.1104</v>
      </c>
      <c r="BZ15" s="564">
        <f t="shared" si="23"/>
        <v>5.5109999999999994E-3</v>
      </c>
      <c r="CA15" s="564">
        <f t="shared" si="24"/>
        <v>18.155910999999996</v>
      </c>
      <c r="CB15" s="611">
        <f t="shared" si="25"/>
        <v>0.90779554999999978</v>
      </c>
      <c r="CC15" s="610"/>
      <c r="CD15" s="610">
        <f t="shared" si="26"/>
        <v>0.66071428571428581</v>
      </c>
      <c r="CE15" s="610" t="e">
        <f t="shared" si="27"/>
        <v>#VALUE!</v>
      </c>
      <c r="CF15" s="610">
        <f t="shared" si="34"/>
        <v>0.83000000000000007</v>
      </c>
      <c r="CG15" s="610">
        <f t="shared" si="35"/>
        <v>1.0449999999999999</v>
      </c>
    </row>
    <row r="16" spans="2:85" ht="20.149999999999999" customHeight="1" x14ac:dyDescent="0.2">
      <c r="B16" s="31" t="s">
        <v>202</v>
      </c>
      <c r="C16" s="32" t="s">
        <v>207</v>
      </c>
      <c r="D16" s="33">
        <v>30</v>
      </c>
      <c r="E16" s="623">
        <f t="shared" si="28"/>
        <v>2.3E-2</v>
      </c>
      <c r="F16" s="35">
        <v>0.23</v>
      </c>
      <c r="G16" s="35">
        <v>13</v>
      </c>
      <c r="H16" s="36">
        <v>8.1000000000000003E-2</v>
      </c>
      <c r="I16" s="35">
        <v>5.3</v>
      </c>
      <c r="J16" s="35">
        <v>0.13</v>
      </c>
      <c r="K16" s="35">
        <v>6.7000000000000002E-3</v>
      </c>
      <c r="L16" s="32">
        <v>0.02</v>
      </c>
      <c r="M16" s="34">
        <v>80</v>
      </c>
      <c r="N16" s="35">
        <v>20</v>
      </c>
      <c r="O16" s="35" t="s">
        <v>64</v>
      </c>
      <c r="P16" s="35">
        <v>87</v>
      </c>
      <c r="Q16" s="35">
        <v>13</v>
      </c>
      <c r="R16" s="624">
        <f t="shared" si="29"/>
        <v>1.4500000000000001E-2</v>
      </c>
      <c r="S16" s="35">
        <v>3.6</v>
      </c>
      <c r="T16" s="35">
        <v>13</v>
      </c>
      <c r="U16" s="35">
        <v>1.3</v>
      </c>
      <c r="V16" s="35">
        <v>6.1</v>
      </c>
      <c r="W16" s="35">
        <v>110</v>
      </c>
      <c r="X16" s="624">
        <f>0.5*0.11</f>
        <v>5.5E-2</v>
      </c>
      <c r="Y16" s="35">
        <v>4.7</v>
      </c>
      <c r="Z16" s="35">
        <v>38</v>
      </c>
      <c r="AA16" s="35">
        <v>63</v>
      </c>
      <c r="AB16" s="35">
        <v>0.64</v>
      </c>
      <c r="AC16" s="35">
        <v>1.1000000000000001</v>
      </c>
      <c r="AD16" s="35">
        <v>0.21</v>
      </c>
      <c r="AE16" s="35">
        <v>0.81</v>
      </c>
      <c r="AF16" s="35">
        <v>0.63</v>
      </c>
      <c r="AG16" s="624">
        <f t="shared" si="30"/>
        <v>3.95E-2</v>
      </c>
      <c r="AH16" s="35">
        <v>7.1</v>
      </c>
      <c r="AI16" s="35">
        <v>0.17</v>
      </c>
      <c r="AJ16" s="35">
        <v>0.15</v>
      </c>
      <c r="AK16" s="624">
        <f t="shared" si="31"/>
        <v>1.7500000000000002E-2</v>
      </c>
      <c r="AL16" s="628">
        <f t="shared" si="32"/>
        <v>0.01</v>
      </c>
      <c r="AM16" s="33">
        <v>1.3</v>
      </c>
      <c r="AN16" s="33">
        <v>3.9E-2</v>
      </c>
      <c r="AO16" s="628">
        <f t="shared" si="33"/>
        <v>3.95E-2</v>
      </c>
      <c r="AP16" s="35">
        <v>31</v>
      </c>
      <c r="AQ16" s="32" t="s">
        <v>64</v>
      </c>
      <c r="AR16" s="34">
        <v>0</v>
      </c>
      <c r="AS16" s="36">
        <v>1.5</v>
      </c>
      <c r="AT16" s="36">
        <v>0.74</v>
      </c>
      <c r="AU16" s="36">
        <v>0.62</v>
      </c>
      <c r="AV16" s="36">
        <v>1</v>
      </c>
      <c r="AW16" s="35">
        <v>2.2999999999999998</v>
      </c>
      <c r="AX16" s="33">
        <v>0.94</v>
      </c>
      <c r="AY16" s="33">
        <v>3.5000000000000003E-2</v>
      </c>
      <c r="AZ16" s="33">
        <v>3.9</v>
      </c>
      <c r="BA16" s="33">
        <v>2.2999999999999998</v>
      </c>
      <c r="BB16" s="32" t="s">
        <v>64</v>
      </c>
      <c r="BC16" s="619">
        <f t="shared" si="3"/>
        <v>0.98974358974358989</v>
      </c>
      <c r="BD16" s="610">
        <f t="shared" si="4"/>
        <v>0.98913043478260876</v>
      </c>
      <c r="BF16" s="610">
        <f t="shared" si="5"/>
        <v>6.4788732394366192E-4</v>
      </c>
      <c r="BG16" s="610">
        <f t="shared" si="6"/>
        <v>3.7096774193548388E-3</v>
      </c>
      <c r="BH16" s="610">
        <f t="shared" si="7"/>
        <v>0.27083333333333331</v>
      </c>
      <c r="BI16" s="610">
        <f t="shared" si="8"/>
        <v>3.5217391304347826E-3</v>
      </c>
      <c r="BJ16" s="610">
        <f t="shared" si="9"/>
        <v>0.29444444444444445</v>
      </c>
      <c r="BK16" s="610">
        <f t="shared" si="10"/>
        <v>3.3333333333333335E-3</v>
      </c>
      <c r="BL16" s="610">
        <f t="shared" si="11"/>
        <v>5.5144032921810703E-4</v>
      </c>
      <c r="BM16" s="610">
        <f t="shared" si="12"/>
        <v>1E-3</v>
      </c>
      <c r="BN16" s="563">
        <f t="shared" si="13"/>
        <v>275.19089807663181</v>
      </c>
      <c r="BO16" s="563">
        <f t="shared" si="14"/>
        <v>302.85095723743069</v>
      </c>
      <c r="BP16" s="611">
        <f t="shared" si="15"/>
        <v>0.9086677505889017</v>
      </c>
      <c r="BR16" s="564">
        <f t="shared" si="16"/>
        <v>17.875</v>
      </c>
      <c r="BS16" s="564">
        <f t="shared" si="17"/>
        <v>0.29670000000000002</v>
      </c>
      <c r="BT16" s="564">
        <f t="shared" si="18"/>
        <v>0.20250000000000001</v>
      </c>
      <c r="BU16" s="564">
        <f t="shared" si="19"/>
        <v>6.24</v>
      </c>
      <c r="BV16" s="564">
        <f t="shared" si="20"/>
        <v>2.2999999999999998</v>
      </c>
      <c r="BW16" s="564">
        <f t="shared" si="21"/>
        <v>0.18380000000000002</v>
      </c>
      <c r="BX16" s="564">
        <f t="shared" si="0"/>
        <v>1.8199999999999997E-2</v>
      </c>
      <c r="BY16" s="564">
        <f t="shared" si="22"/>
        <v>0.15179999999999999</v>
      </c>
      <c r="BZ16" s="564">
        <f t="shared" si="23"/>
        <v>6.012E-3</v>
      </c>
      <c r="CA16" s="564">
        <f t="shared" si="24"/>
        <v>27.274012000000006</v>
      </c>
      <c r="CB16" s="611">
        <f t="shared" si="25"/>
        <v>0.90913373333333358</v>
      </c>
      <c r="CC16" s="610"/>
      <c r="CD16" s="610">
        <f t="shared" si="26"/>
        <v>0.62903225806451624</v>
      </c>
      <c r="CE16" s="610" t="e">
        <f t="shared" si="27"/>
        <v>#VALUE!</v>
      </c>
      <c r="CF16" s="610">
        <f t="shared" si="34"/>
        <v>1.2999999999999998</v>
      </c>
      <c r="CG16" s="610">
        <f t="shared" si="35"/>
        <v>0.97499999999999998</v>
      </c>
    </row>
    <row r="17" spans="2:85" ht="20.149999999999999" customHeight="1" x14ac:dyDescent="0.2">
      <c r="B17" s="31" t="s">
        <v>202</v>
      </c>
      <c r="C17" s="32" t="s">
        <v>208</v>
      </c>
      <c r="D17" s="33">
        <v>32</v>
      </c>
      <c r="E17" s="623">
        <f t="shared" si="28"/>
        <v>2.3E-2</v>
      </c>
      <c r="F17" s="35">
        <v>7.9000000000000001E-2</v>
      </c>
      <c r="G17" s="35">
        <v>14</v>
      </c>
      <c r="H17" s="36">
        <v>6.9000000000000006E-2</v>
      </c>
      <c r="I17" s="35">
        <v>4.9000000000000004</v>
      </c>
      <c r="J17" s="35">
        <v>0.5</v>
      </c>
      <c r="K17" s="35">
        <v>1.9E-2</v>
      </c>
      <c r="L17" s="32">
        <v>1.7999999999999999E-2</v>
      </c>
      <c r="M17" s="34">
        <v>78</v>
      </c>
      <c r="N17" s="35">
        <v>40</v>
      </c>
      <c r="O17" s="35" t="s">
        <v>64</v>
      </c>
      <c r="P17" s="35">
        <v>380</v>
      </c>
      <c r="Q17" s="35">
        <v>8</v>
      </c>
      <c r="R17" s="624">
        <f t="shared" si="29"/>
        <v>1.4500000000000001E-2</v>
      </c>
      <c r="S17" s="35">
        <v>2.9</v>
      </c>
      <c r="T17" s="35">
        <v>15</v>
      </c>
      <c r="U17" s="35">
        <v>1.5</v>
      </c>
      <c r="V17" s="35">
        <v>5.0999999999999996</v>
      </c>
      <c r="W17" s="35">
        <v>83</v>
      </c>
      <c r="X17" s="624">
        <f>0.5*0.11</f>
        <v>5.5E-2</v>
      </c>
      <c r="Y17" s="35">
        <v>5.9</v>
      </c>
      <c r="Z17" s="35">
        <v>12</v>
      </c>
      <c r="AA17" s="35">
        <v>43</v>
      </c>
      <c r="AB17" s="35">
        <v>0.67</v>
      </c>
      <c r="AC17" s="35">
        <v>1.2</v>
      </c>
      <c r="AD17" s="35">
        <v>0.25</v>
      </c>
      <c r="AE17" s="35">
        <v>1.1000000000000001</v>
      </c>
      <c r="AF17" s="35">
        <v>1.3</v>
      </c>
      <c r="AG17" s="624">
        <f t="shared" si="30"/>
        <v>3.95E-2</v>
      </c>
      <c r="AH17" s="35">
        <v>17</v>
      </c>
      <c r="AI17" s="35">
        <v>0.16</v>
      </c>
      <c r="AJ17" s="35">
        <v>0.24</v>
      </c>
      <c r="AK17" s="624">
        <f t="shared" si="31"/>
        <v>1.7500000000000002E-2</v>
      </c>
      <c r="AL17" s="628">
        <f t="shared" si="32"/>
        <v>0.01</v>
      </c>
      <c r="AM17" s="628">
        <f>0.5*0.04</f>
        <v>0.02</v>
      </c>
      <c r="AN17" s="628">
        <f>0.5*0.028</f>
        <v>1.4E-2</v>
      </c>
      <c r="AO17" s="628">
        <f t="shared" si="33"/>
        <v>3.95E-2</v>
      </c>
      <c r="AP17" s="35">
        <v>13</v>
      </c>
      <c r="AQ17" s="32" t="s">
        <v>64</v>
      </c>
      <c r="AR17" s="34">
        <v>0</v>
      </c>
      <c r="AS17" s="36">
        <v>1.6</v>
      </c>
      <c r="AT17" s="36">
        <v>0.81</v>
      </c>
      <c r="AU17" s="36">
        <v>0.75</v>
      </c>
      <c r="AV17" s="36">
        <v>1.2</v>
      </c>
      <c r="AW17" s="35">
        <v>2.2999999999999998</v>
      </c>
      <c r="AX17" s="33">
        <v>0.53</v>
      </c>
      <c r="AY17" s="33">
        <v>0</v>
      </c>
      <c r="AZ17" s="33">
        <v>4.4000000000000004</v>
      </c>
      <c r="BA17" s="33">
        <v>1.6</v>
      </c>
      <c r="BB17" s="32" t="s">
        <v>64</v>
      </c>
      <c r="BC17" s="619">
        <f t="shared" si="3"/>
        <v>0.99090909090909085</v>
      </c>
      <c r="BD17" s="610">
        <f t="shared" si="4"/>
        <v>1.01875</v>
      </c>
      <c r="BF17" s="610">
        <f t="shared" si="5"/>
        <v>6.4788732394366192E-4</v>
      </c>
      <c r="BG17" s="610">
        <f t="shared" si="6"/>
        <v>1.2741935483870969E-3</v>
      </c>
      <c r="BH17" s="610">
        <f t="shared" si="7"/>
        <v>0.29166666666666669</v>
      </c>
      <c r="BI17" s="610">
        <f t="shared" si="8"/>
        <v>3.0000000000000001E-3</v>
      </c>
      <c r="BJ17" s="610">
        <f t="shared" si="9"/>
        <v>0.27222222222222225</v>
      </c>
      <c r="BK17" s="610">
        <f t="shared" si="10"/>
        <v>1.282051282051282E-2</v>
      </c>
      <c r="BL17" s="610">
        <f t="shared" si="11"/>
        <v>1.5637860082304525E-3</v>
      </c>
      <c r="BM17" s="610">
        <f t="shared" si="12"/>
        <v>8.9999999999999998E-4</v>
      </c>
      <c r="BN17" s="563">
        <f t="shared" si="13"/>
        <v>293.58874753899744</v>
      </c>
      <c r="BO17" s="563">
        <f t="shared" si="14"/>
        <v>290.50652105096555</v>
      </c>
      <c r="BP17" s="611">
        <f t="shared" si="15"/>
        <v>1.0106098358029325</v>
      </c>
      <c r="BR17" s="564">
        <f t="shared" si="16"/>
        <v>19.25</v>
      </c>
      <c r="BS17" s="564">
        <f t="shared" si="17"/>
        <v>0.10191</v>
      </c>
      <c r="BT17" s="564">
        <f t="shared" si="18"/>
        <v>0.17250000000000001</v>
      </c>
      <c r="BU17" s="564">
        <f t="shared" si="19"/>
        <v>7.0400000000000009</v>
      </c>
      <c r="BV17" s="564">
        <f t="shared" si="20"/>
        <v>1.6</v>
      </c>
      <c r="BW17" s="564">
        <f t="shared" si="21"/>
        <v>0.36760000000000004</v>
      </c>
      <c r="BX17" s="564">
        <f t="shared" si="0"/>
        <v>1.12E-2</v>
      </c>
      <c r="BY17" s="564">
        <f t="shared" si="22"/>
        <v>0.11454</v>
      </c>
      <c r="BZ17" s="564">
        <f t="shared" si="23"/>
        <v>4.8429999999999992E-3</v>
      </c>
      <c r="CA17" s="564">
        <f t="shared" si="24"/>
        <v>28.662593000000005</v>
      </c>
      <c r="CB17" s="611">
        <f t="shared" si="25"/>
        <v>0.89570603125000015</v>
      </c>
      <c r="CC17" s="610"/>
      <c r="CD17" s="610">
        <f t="shared" si="26"/>
        <v>0.73333333333333339</v>
      </c>
      <c r="CE17" s="610" t="e">
        <f t="shared" si="27"/>
        <v>#VALUE!</v>
      </c>
      <c r="CF17" s="610">
        <f t="shared" si="34"/>
        <v>1.0999999999999999</v>
      </c>
      <c r="CG17" s="610">
        <f t="shared" si="35"/>
        <v>0.53</v>
      </c>
    </row>
    <row r="18" spans="2:85" ht="20.149999999999999" customHeight="1" thickBot="1" x14ac:dyDescent="0.25">
      <c r="B18" s="39" t="s">
        <v>202</v>
      </c>
      <c r="C18" s="45" t="s">
        <v>209</v>
      </c>
      <c r="D18" s="41">
        <v>22</v>
      </c>
      <c r="E18" s="631">
        <f t="shared" si="28"/>
        <v>2.3E-2</v>
      </c>
      <c r="F18" s="43">
        <v>6.8000000000000005E-2</v>
      </c>
      <c r="G18" s="43">
        <v>8.3000000000000007</v>
      </c>
      <c r="H18" s="44">
        <v>8.1000000000000003E-2</v>
      </c>
      <c r="I18" s="43">
        <v>3</v>
      </c>
      <c r="J18" s="43">
        <v>0.28000000000000003</v>
      </c>
      <c r="K18" s="43">
        <v>9.5999999999999992E-3</v>
      </c>
      <c r="L18" s="45">
        <v>1.7000000000000001E-2</v>
      </c>
      <c r="M18" s="42">
        <v>40</v>
      </c>
      <c r="N18" s="43">
        <v>34</v>
      </c>
      <c r="O18" s="43" t="s">
        <v>64</v>
      </c>
      <c r="P18" s="43">
        <v>170</v>
      </c>
      <c r="Q18" s="43">
        <v>13</v>
      </c>
      <c r="R18" s="626">
        <f t="shared" si="29"/>
        <v>1.4500000000000001E-2</v>
      </c>
      <c r="S18" s="43">
        <v>2.8</v>
      </c>
      <c r="T18" s="43">
        <v>4.8</v>
      </c>
      <c r="U18" s="43">
        <v>0.98</v>
      </c>
      <c r="V18" s="43">
        <v>3.6</v>
      </c>
      <c r="W18" s="43">
        <v>60</v>
      </c>
      <c r="X18" s="626">
        <f>0.5*0.11</f>
        <v>5.5E-2</v>
      </c>
      <c r="Y18" s="43">
        <v>1.9</v>
      </c>
      <c r="Z18" s="43">
        <v>6.8</v>
      </c>
      <c r="AA18" s="43">
        <v>42</v>
      </c>
      <c r="AB18" s="43">
        <v>0.52</v>
      </c>
      <c r="AC18" s="43">
        <v>0.99</v>
      </c>
      <c r="AD18" s="626">
        <f>0.5*1.4</f>
        <v>0.7</v>
      </c>
      <c r="AE18" s="43">
        <v>0.86</v>
      </c>
      <c r="AF18" s="43">
        <v>0.46</v>
      </c>
      <c r="AG18" s="626">
        <f t="shared" si="30"/>
        <v>3.95E-2</v>
      </c>
      <c r="AH18" s="43">
        <v>11</v>
      </c>
      <c r="AI18" s="43">
        <v>6.3E-2</v>
      </c>
      <c r="AJ18" s="43">
        <v>8.5999999999999993E-2</v>
      </c>
      <c r="AK18" s="626">
        <f t="shared" si="31"/>
        <v>1.7500000000000002E-2</v>
      </c>
      <c r="AL18" s="629">
        <f t="shared" si="32"/>
        <v>0.01</v>
      </c>
      <c r="AM18" s="41">
        <v>0.15</v>
      </c>
      <c r="AN18" s="629">
        <f>0.5*0.028</f>
        <v>1.4E-2</v>
      </c>
      <c r="AO18" s="629">
        <f t="shared" si="33"/>
        <v>3.95E-2</v>
      </c>
      <c r="AP18" s="43">
        <v>8.1999999999999993</v>
      </c>
      <c r="AQ18" s="45" t="s">
        <v>64</v>
      </c>
      <c r="AR18" s="42">
        <v>9.6000000000000002E-2</v>
      </c>
      <c r="AS18" s="44">
        <v>1.5</v>
      </c>
      <c r="AT18" s="44">
        <v>0.84</v>
      </c>
      <c r="AU18" s="44">
        <v>0.67</v>
      </c>
      <c r="AV18" s="44">
        <v>1.2</v>
      </c>
      <c r="AW18" s="43">
        <v>1.7</v>
      </c>
      <c r="AX18" s="41">
        <v>0.67</v>
      </c>
      <c r="AY18" s="41">
        <v>0.04</v>
      </c>
      <c r="AZ18" s="41">
        <v>4.3</v>
      </c>
      <c r="BA18" s="41">
        <v>1.2</v>
      </c>
      <c r="BB18" s="45" t="s">
        <v>64</v>
      </c>
      <c r="BC18" s="620">
        <f t="shared" si="3"/>
        <v>1.0013953488372094</v>
      </c>
      <c r="BD18" s="617">
        <f t="shared" si="4"/>
        <v>1.0083333333333335</v>
      </c>
      <c r="BE18" s="616"/>
      <c r="BF18" s="617">
        <f t="shared" si="5"/>
        <v>6.4788732394366192E-4</v>
      </c>
      <c r="BG18" s="617">
        <f t="shared" si="6"/>
        <v>1.0967741935483872E-3</v>
      </c>
      <c r="BH18" s="617">
        <f t="shared" si="7"/>
        <v>0.17291666666666669</v>
      </c>
      <c r="BI18" s="617">
        <f t="shared" si="8"/>
        <v>3.5217391304347826E-3</v>
      </c>
      <c r="BJ18" s="617">
        <f t="shared" si="9"/>
        <v>0.16666666666666666</v>
      </c>
      <c r="BK18" s="617">
        <f t="shared" si="10"/>
        <v>7.1794871794871803E-3</v>
      </c>
      <c r="BL18" s="617">
        <f t="shared" si="11"/>
        <v>7.9012345679012341E-4</v>
      </c>
      <c r="BM18" s="617">
        <f t="shared" si="12"/>
        <v>8.5000000000000006E-4</v>
      </c>
      <c r="BN18" s="621">
        <f t="shared" si="13"/>
        <v>174.66132818415875</v>
      </c>
      <c r="BO18" s="621">
        <f t="shared" si="14"/>
        <v>179.00801643337874</v>
      </c>
      <c r="BP18" s="618">
        <f t="shared" si="15"/>
        <v>0.9757179128855511</v>
      </c>
      <c r="BQ18" s="616"/>
      <c r="BR18" s="615">
        <f t="shared" si="16"/>
        <v>11.412500000000001</v>
      </c>
      <c r="BS18" s="615">
        <f t="shared" si="17"/>
        <v>8.7720000000000006E-2</v>
      </c>
      <c r="BT18" s="615">
        <f t="shared" si="18"/>
        <v>0.20250000000000001</v>
      </c>
      <c r="BU18" s="615">
        <f t="shared" si="19"/>
        <v>6.88</v>
      </c>
      <c r="BV18" s="615">
        <f t="shared" si="20"/>
        <v>1.2</v>
      </c>
      <c r="BW18" s="615">
        <f t="shared" si="21"/>
        <v>0.31246000000000002</v>
      </c>
      <c r="BX18" s="615">
        <f t="shared" si="0"/>
        <v>1.8199999999999997E-2</v>
      </c>
      <c r="BY18" s="615">
        <f t="shared" si="22"/>
        <v>8.2799999999999985E-2</v>
      </c>
      <c r="BZ18" s="615">
        <f t="shared" si="23"/>
        <v>4.6759999999999996E-3</v>
      </c>
      <c r="CA18" s="615">
        <f t="shared" si="24"/>
        <v>20.200856000000002</v>
      </c>
      <c r="CB18" s="618">
        <f t="shared" si="25"/>
        <v>0.9182207272727273</v>
      </c>
      <c r="CC18" s="617"/>
      <c r="CD18" s="617">
        <f t="shared" si="26"/>
        <v>0.78181818181818175</v>
      </c>
      <c r="CE18" s="617" t="e">
        <f t="shared" si="27"/>
        <v>#VALUE!</v>
      </c>
      <c r="CF18" s="617">
        <f t="shared" si="34"/>
        <v>0.5</v>
      </c>
      <c r="CG18" s="617">
        <f t="shared" si="35"/>
        <v>0.71000000000000008</v>
      </c>
    </row>
    <row r="19" spans="2:85" ht="20.149999999999999" customHeight="1" x14ac:dyDescent="0.2">
      <c r="B19" s="31" t="s">
        <v>61</v>
      </c>
      <c r="C19" s="46" t="s">
        <v>92</v>
      </c>
      <c r="D19" s="47">
        <v>29</v>
      </c>
      <c r="E19" s="48" t="s">
        <v>63</v>
      </c>
      <c r="F19" s="49">
        <v>9.5000000000000001E-2</v>
      </c>
      <c r="G19" s="49">
        <v>14</v>
      </c>
      <c r="H19" s="50">
        <v>6.6000000000000003E-2</v>
      </c>
      <c r="I19" s="49">
        <v>5.2</v>
      </c>
      <c r="J19" s="49">
        <v>0.14000000000000001</v>
      </c>
      <c r="K19" s="49">
        <v>6.6E-3</v>
      </c>
      <c r="L19" s="37">
        <v>2.3E-2</v>
      </c>
      <c r="M19" s="48">
        <v>77</v>
      </c>
      <c r="N19" s="49">
        <v>31</v>
      </c>
      <c r="O19" s="49" t="s">
        <v>64</v>
      </c>
      <c r="P19" s="49">
        <v>100</v>
      </c>
      <c r="Q19" s="49">
        <v>7.7</v>
      </c>
      <c r="R19" s="49" t="s">
        <v>65</v>
      </c>
      <c r="S19" s="49">
        <v>4.2</v>
      </c>
      <c r="T19" s="49">
        <v>11</v>
      </c>
      <c r="U19" s="49">
        <v>0.99</v>
      </c>
      <c r="V19" s="49">
        <v>6.2</v>
      </c>
      <c r="W19" s="49">
        <v>99</v>
      </c>
      <c r="X19" s="49" t="s">
        <v>67</v>
      </c>
      <c r="Y19" s="49">
        <v>4.5</v>
      </c>
      <c r="Z19" s="49">
        <v>5</v>
      </c>
      <c r="AA19" s="49">
        <v>61</v>
      </c>
      <c r="AB19" s="49">
        <v>0.87</v>
      </c>
      <c r="AC19" s="49">
        <v>1.5</v>
      </c>
      <c r="AD19" s="49">
        <v>0.25</v>
      </c>
      <c r="AE19" s="49">
        <v>1.2</v>
      </c>
      <c r="AF19" s="49">
        <v>0.42</v>
      </c>
      <c r="AG19" s="49" t="s">
        <v>70</v>
      </c>
      <c r="AH19" s="49">
        <v>4.7</v>
      </c>
      <c r="AI19" s="49">
        <v>9.2999999999999999E-2</v>
      </c>
      <c r="AJ19" s="49">
        <v>0.19</v>
      </c>
      <c r="AK19" s="49" t="s">
        <v>74</v>
      </c>
      <c r="AL19" s="47" t="s">
        <v>75</v>
      </c>
      <c r="AM19" s="47">
        <v>1.3</v>
      </c>
      <c r="AN19" s="47" t="s">
        <v>77</v>
      </c>
      <c r="AO19" s="47" t="s">
        <v>70</v>
      </c>
      <c r="AP19" s="49">
        <v>16</v>
      </c>
      <c r="AQ19" s="37" t="s">
        <v>64</v>
      </c>
      <c r="AR19" s="48">
        <v>0</v>
      </c>
      <c r="AS19" s="50">
        <v>1.2</v>
      </c>
      <c r="AT19" s="50">
        <v>0.57999999999999996</v>
      </c>
      <c r="AU19" s="50">
        <v>0.51</v>
      </c>
      <c r="AV19" s="50">
        <v>1</v>
      </c>
      <c r="AW19" s="49">
        <v>2</v>
      </c>
      <c r="AX19" s="47">
        <v>0.88</v>
      </c>
      <c r="AY19" s="47">
        <v>3.5000000000000003E-2</v>
      </c>
      <c r="AZ19" s="47">
        <v>3.3</v>
      </c>
      <c r="BA19" s="47">
        <v>1.9</v>
      </c>
      <c r="BB19" s="37" t="s">
        <v>64</v>
      </c>
      <c r="BC19" s="619">
        <f t="shared" si="3"/>
        <v>0.99696969696969706</v>
      </c>
      <c r="BD19" s="610">
        <f t="shared" si="4"/>
        <v>1.0078947368421054</v>
      </c>
      <c r="BF19" s="610" t="e">
        <f t="shared" si="5"/>
        <v>#VALUE!</v>
      </c>
      <c r="BG19" s="610">
        <f t="shared" si="6"/>
        <v>1.5322580645161291E-3</v>
      </c>
      <c r="BH19" s="610">
        <f t="shared" si="7"/>
        <v>0.29166666666666669</v>
      </c>
      <c r="BI19" s="610">
        <f t="shared" si="8"/>
        <v>2.8695652173913043E-3</v>
      </c>
      <c r="BJ19" s="610">
        <f t="shared" si="9"/>
        <v>0.28888888888888892</v>
      </c>
      <c r="BK19" s="610">
        <f t="shared" si="10"/>
        <v>3.5897435897435902E-3</v>
      </c>
      <c r="BL19" s="610">
        <f t="shared" si="11"/>
        <v>5.4320987654320988E-4</v>
      </c>
      <c r="BM19" s="610">
        <f t="shared" si="12"/>
        <v>1.15E-3</v>
      </c>
      <c r="BN19" s="563" t="e">
        <f t="shared" si="13"/>
        <v>#VALUE!</v>
      </c>
      <c r="BO19" s="563">
        <f t="shared" si="14"/>
        <v>297.04140757256698</v>
      </c>
      <c r="BP19" s="611" t="e">
        <f t="shared" si="15"/>
        <v>#VALUE!</v>
      </c>
      <c r="BR19" s="564">
        <f t="shared" si="16"/>
        <v>19.25</v>
      </c>
      <c r="BS19" s="564">
        <f t="shared" si="17"/>
        <v>0.12255000000000001</v>
      </c>
      <c r="BT19" s="564">
        <f t="shared" si="18"/>
        <v>0.16500000000000001</v>
      </c>
      <c r="BU19" s="564">
        <f t="shared" si="19"/>
        <v>5.28</v>
      </c>
      <c r="BV19" s="564">
        <f t="shared" si="20"/>
        <v>1.9</v>
      </c>
      <c r="BW19" s="564">
        <f t="shared" si="21"/>
        <v>0.28489000000000003</v>
      </c>
      <c r="BX19" s="564">
        <f t="shared" si="0"/>
        <v>1.078E-2</v>
      </c>
      <c r="BY19" s="564">
        <f t="shared" si="22"/>
        <v>0.13661999999999999</v>
      </c>
      <c r="BZ19" s="564">
        <f t="shared" si="23"/>
        <v>7.0140000000000011E-3</v>
      </c>
      <c r="CA19" s="564">
        <f t="shared" si="24"/>
        <v>27.156854000000003</v>
      </c>
      <c r="CB19" s="611">
        <f t="shared" si="25"/>
        <v>0.93644324137931045</v>
      </c>
      <c r="CC19" s="610"/>
      <c r="CD19" s="610">
        <f t="shared" si="26"/>
        <v>0.63461538461538469</v>
      </c>
      <c r="CE19" s="610" t="e">
        <f t="shared" si="27"/>
        <v>#VALUE!</v>
      </c>
      <c r="CF19" s="610">
        <f t="shared" si="34"/>
        <v>1</v>
      </c>
      <c r="CG19" s="610">
        <f t="shared" si="35"/>
        <v>0.91500000000000004</v>
      </c>
    </row>
    <row r="20" spans="2:85" ht="20.149999999999999" customHeight="1" x14ac:dyDescent="0.2">
      <c r="B20" s="21" t="s">
        <v>61</v>
      </c>
      <c r="C20" s="52" t="s">
        <v>210</v>
      </c>
      <c r="D20" s="53">
        <v>28</v>
      </c>
      <c r="E20" s="54" t="s">
        <v>63</v>
      </c>
      <c r="F20" s="55">
        <v>6.7000000000000004E-2</v>
      </c>
      <c r="G20" s="55">
        <v>8.6</v>
      </c>
      <c r="H20" s="56">
        <v>7.8E-2</v>
      </c>
      <c r="I20" s="55">
        <v>2.8</v>
      </c>
      <c r="J20" s="55">
        <v>0.23</v>
      </c>
      <c r="K20" s="55" t="s">
        <v>211</v>
      </c>
      <c r="L20" s="52" t="s">
        <v>212</v>
      </c>
      <c r="M20" s="54">
        <v>76</v>
      </c>
      <c r="N20" s="55">
        <v>26</v>
      </c>
      <c r="O20" s="55" t="s">
        <v>64</v>
      </c>
      <c r="P20" s="55">
        <v>160</v>
      </c>
      <c r="Q20" s="55">
        <v>7.3</v>
      </c>
      <c r="R20" s="55" t="s">
        <v>65</v>
      </c>
      <c r="S20" s="55">
        <v>2.6</v>
      </c>
      <c r="T20" s="55">
        <v>7</v>
      </c>
      <c r="U20" s="55">
        <v>3.1</v>
      </c>
      <c r="V20" s="55">
        <v>5.2</v>
      </c>
      <c r="W20" s="55">
        <v>95</v>
      </c>
      <c r="X20" s="55" t="s">
        <v>67</v>
      </c>
      <c r="Y20" s="55">
        <v>2.5</v>
      </c>
      <c r="Z20" s="55">
        <v>6.5</v>
      </c>
      <c r="AA20" s="55">
        <v>39</v>
      </c>
      <c r="AB20" s="55">
        <v>0.73</v>
      </c>
      <c r="AC20" s="55">
        <v>0.72</v>
      </c>
      <c r="AD20" s="55">
        <v>0.14000000000000001</v>
      </c>
      <c r="AE20" s="55">
        <v>1.1000000000000001</v>
      </c>
      <c r="AF20" s="55">
        <v>0.62</v>
      </c>
      <c r="AG20" s="55" t="s">
        <v>70</v>
      </c>
      <c r="AH20" s="55">
        <v>11</v>
      </c>
      <c r="AI20" s="55">
        <v>0.09</v>
      </c>
      <c r="AJ20" s="55">
        <v>0.15</v>
      </c>
      <c r="AK20" s="55" t="s">
        <v>74</v>
      </c>
      <c r="AL20" s="53" t="s">
        <v>75</v>
      </c>
      <c r="AM20" s="53">
        <v>1.6</v>
      </c>
      <c r="AN20" s="53" t="s">
        <v>77</v>
      </c>
      <c r="AO20" s="53" t="s">
        <v>70</v>
      </c>
      <c r="AP20" s="55">
        <v>11</v>
      </c>
      <c r="AQ20" s="52" t="s">
        <v>64</v>
      </c>
      <c r="AR20" s="54">
        <v>0</v>
      </c>
      <c r="AS20" s="56">
        <v>1</v>
      </c>
      <c r="AT20" s="56">
        <v>0.62</v>
      </c>
      <c r="AU20" s="56">
        <v>0.5</v>
      </c>
      <c r="AV20" s="56">
        <v>0.75</v>
      </c>
      <c r="AW20" s="55">
        <v>1.5</v>
      </c>
      <c r="AX20" s="53">
        <v>0.88</v>
      </c>
      <c r="AY20" s="53">
        <v>2.5000000000000001E-2</v>
      </c>
      <c r="AZ20" s="53">
        <v>2.9</v>
      </c>
      <c r="BA20" s="53">
        <v>1.7</v>
      </c>
      <c r="BB20" s="52" t="s">
        <v>64</v>
      </c>
      <c r="BC20" s="619">
        <f t="shared" si="3"/>
        <v>0.98965517241379319</v>
      </c>
      <c r="BD20" s="610">
        <f t="shared" si="4"/>
        <v>0.97352941176470575</v>
      </c>
      <c r="BF20" s="610" t="e">
        <f t="shared" si="5"/>
        <v>#VALUE!</v>
      </c>
      <c r="BG20" s="610">
        <f t="shared" si="6"/>
        <v>1.0806451612903225E-3</v>
      </c>
      <c r="BH20" s="610">
        <f t="shared" si="7"/>
        <v>0.17916666666666667</v>
      </c>
      <c r="BI20" s="610">
        <f t="shared" si="8"/>
        <v>3.3913043478260869E-3</v>
      </c>
      <c r="BJ20" s="610">
        <f t="shared" si="9"/>
        <v>0.15555555555555556</v>
      </c>
      <c r="BK20" s="610">
        <f t="shared" si="10"/>
        <v>5.8974358974358976E-3</v>
      </c>
      <c r="BL20" s="610" t="e">
        <f t="shared" si="11"/>
        <v>#VALUE!</v>
      </c>
      <c r="BM20" s="610" t="e">
        <f t="shared" si="12"/>
        <v>#VALUE!</v>
      </c>
      <c r="BN20" s="563" t="e">
        <f t="shared" si="13"/>
        <v>#VALUE!</v>
      </c>
      <c r="BO20" s="563" t="e">
        <f t="shared" si="14"/>
        <v>#VALUE!</v>
      </c>
      <c r="BP20" s="611" t="e">
        <f t="shared" si="15"/>
        <v>#VALUE!</v>
      </c>
      <c r="BR20" s="564">
        <f t="shared" si="16"/>
        <v>11.824999999999999</v>
      </c>
      <c r="BS20" s="564">
        <f t="shared" si="17"/>
        <v>8.6430000000000007E-2</v>
      </c>
      <c r="BT20" s="564">
        <f t="shared" si="18"/>
        <v>0.19500000000000001</v>
      </c>
      <c r="BU20" s="564">
        <f t="shared" si="19"/>
        <v>4.6399999999999997</v>
      </c>
      <c r="BV20" s="564">
        <f t="shared" si="20"/>
        <v>1.7</v>
      </c>
      <c r="BW20" s="564">
        <f t="shared" si="21"/>
        <v>0.23894000000000001</v>
      </c>
      <c r="BX20" s="564">
        <f t="shared" si="0"/>
        <v>1.022E-2</v>
      </c>
      <c r="BY20" s="564">
        <f t="shared" si="22"/>
        <v>0.13109999999999999</v>
      </c>
      <c r="BZ20" s="564">
        <f t="shared" si="23"/>
        <v>4.3419999999999995E-3</v>
      </c>
      <c r="CA20" s="564">
        <f t="shared" si="24"/>
        <v>18.831032</v>
      </c>
      <c r="CB20" s="611">
        <f t="shared" si="25"/>
        <v>0.67253685714285716</v>
      </c>
      <c r="CD20" s="610">
        <f t="shared" si="26"/>
        <v>0.63043478260869568</v>
      </c>
      <c r="CE20" s="610" t="e">
        <f t="shared" si="27"/>
        <v>#VALUE!</v>
      </c>
      <c r="CF20" s="610">
        <f t="shared" si="34"/>
        <v>0.75</v>
      </c>
      <c r="CG20" s="610">
        <f t="shared" si="35"/>
        <v>0.90500000000000003</v>
      </c>
    </row>
    <row r="21" spans="2:85" s="542" customFormat="1" ht="20.149999999999999" customHeight="1" x14ac:dyDescent="0.2">
      <c r="B21" s="538"/>
      <c r="C21" s="539" t="s">
        <v>591</v>
      </c>
      <c r="D21" s="540">
        <f>AVERAGE(D12:D18)</f>
        <v>24</v>
      </c>
      <c r="E21" s="541">
        <f t="shared" ref="E21:BB21" si="36">AVERAGE(E12:E18)</f>
        <v>2.2999999999999996E-2</v>
      </c>
      <c r="F21" s="541">
        <f t="shared" si="36"/>
        <v>0.193</v>
      </c>
      <c r="G21" s="540">
        <f t="shared" si="36"/>
        <v>9.2428571428571438</v>
      </c>
      <c r="H21" s="541">
        <f t="shared" si="36"/>
        <v>0.11099999999999999</v>
      </c>
      <c r="I21" s="540">
        <f t="shared" si="36"/>
        <v>3.4142857142857141</v>
      </c>
      <c r="J21" s="541">
        <f t="shared" si="36"/>
        <v>0.18557142857142858</v>
      </c>
      <c r="K21" s="541">
        <f t="shared" si="36"/>
        <v>9.7428571428571416E-3</v>
      </c>
      <c r="L21" s="541">
        <f t="shared" si="36"/>
        <v>1.7714285714285717E-2</v>
      </c>
      <c r="M21" s="540">
        <f t="shared" si="36"/>
        <v>89.714285714285708</v>
      </c>
      <c r="N21" s="540">
        <f t="shared" si="36"/>
        <v>22.75</v>
      </c>
      <c r="O21" s="540" t="e">
        <f t="shared" si="36"/>
        <v>#DIV/0!</v>
      </c>
      <c r="P21" s="540">
        <f t="shared" si="36"/>
        <v>123.14285714285714</v>
      </c>
      <c r="Q21" s="540">
        <f t="shared" si="36"/>
        <v>7.8642857142857139</v>
      </c>
      <c r="R21" s="540">
        <f t="shared" si="36"/>
        <v>1.4500000000000001E-2</v>
      </c>
      <c r="S21" s="540">
        <f t="shared" si="36"/>
        <v>2.7785714285714285</v>
      </c>
      <c r="T21" s="540">
        <f t="shared" si="36"/>
        <v>6.8571428571428568</v>
      </c>
      <c r="U21" s="540">
        <f t="shared" si="36"/>
        <v>1.2528571428571429</v>
      </c>
      <c r="V21" s="540">
        <f t="shared" si="36"/>
        <v>4.2714285714285714</v>
      </c>
      <c r="W21" s="540">
        <f t="shared" si="36"/>
        <v>73</v>
      </c>
      <c r="X21" s="540">
        <f t="shared" si="36"/>
        <v>6.4285714285714293E-2</v>
      </c>
      <c r="Y21" s="540">
        <f t="shared" si="36"/>
        <v>2.5857142857142859</v>
      </c>
      <c r="Z21" s="540">
        <f t="shared" si="36"/>
        <v>9.8142857142857149</v>
      </c>
      <c r="AA21" s="540">
        <f t="shared" si="36"/>
        <v>41.714285714285715</v>
      </c>
      <c r="AB21" s="540">
        <f t="shared" si="36"/>
        <v>0.51857142857142857</v>
      </c>
      <c r="AC21" s="541">
        <f t="shared" si="36"/>
        <v>0.69285714285714295</v>
      </c>
      <c r="AD21" s="541">
        <f t="shared" si="36"/>
        <v>0.56571428571428573</v>
      </c>
      <c r="AE21" s="541">
        <f t="shared" si="36"/>
        <v>0.86571428571428566</v>
      </c>
      <c r="AF21" s="541">
        <f t="shared" si="36"/>
        <v>0.89</v>
      </c>
      <c r="AG21" s="541">
        <f t="shared" si="36"/>
        <v>3.95E-2</v>
      </c>
      <c r="AH21" s="541">
        <f t="shared" si="36"/>
        <v>6.4071428571428575</v>
      </c>
      <c r="AI21" s="541">
        <f t="shared" si="36"/>
        <v>8.0142857142857141E-2</v>
      </c>
      <c r="AJ21" s="541">
        <f t="shared" si="36"/>
        <v>7.8142857142857139E-2</v>
      </c>
      <c r="AK21" s="541">
        <f t="shared" si="36"/>
        <v>1.7500000000000002E-2</v>
      </c>
      <c r="AL21" s="541">
        <f t="shared" si="36"/>
        <v>0.01</v>
      </c>
      <c r="AM21" s="541">
        <f t="shared" si="36"/>
        <v>1.0871428571428572</v>
      </c>
      <c r="AN21" s="541">
        <f t="shared" si="36"/>
        <v>1.7571428571428571E-2</v>
      </c>
      <c r="AO21" s="541">
        <f t="shared" si="36"/>
        <v>3.95E-2</v>
      </c>
      <c r="AP21" s="541">
        <f t="shared" si="36"/>
        <v>11.985714285714286</v>
      </c>
      <c r="AQ21" s="541" t="e">
        <f t="shared" si="36"/>
        <v>#DIV/0!</v>
      </c>
      <c r="AR21" s="540">
        <f t="shared" si="36"/>
        <v>1.3714285714285715E-2</v>
      </c>
      <c r="AS21" s="540">
        <f t="shared" si="36"/>
        <v>1.3714285714285714</v>
      </c>
      <c r="AT21" s="540">
        <f t="shared" si="36"/>
        <v>0.87857142857142867</v>
      </c>
      <c r="AU21" s="540">
        <f t="shared" si="36"/>
        <v>0.63428571428571434</v>
      </c>
      <c r="AV21" s="540">
        <f t="shared" si="36"/>
        <v>1.0957142857142856</v>
      </c>
      <c r="AW21" s="540">
        <f t="shared" si="36"/>
        <v>1.8571428571428572</v>
      </c>
      <c r="AX21" s="540">
        <f t="shared" si="36"/>
        <v>0.84571428571428586</v>
      </c>
      <c r="AY21" s="540">
        <f t="shared" si="36"/>
        <v>4.2142857142857142E-2</v>
      </c>
      <c r="AZ21" s="540">
        <f t="shared" si="36"/>
        <v>3.9999999999999996</v>
      </c>
      <c r="BA21" s="540">
        <f t="shared" si="36"/>
        <v>1.657142857142857</v>
      </c>
      <c r="BB21" s="540" t="e">
        <f t="shared" si="36"/>
        <v>#DIV/0!</v>
      </c>
      <c r="CD21" s="691">
        <f>AVERAGE(CD12:CD18)</f>
        <v>0.70712954697904196</v>
      </c>
      <c r="CE21" s="691" t="e">
        <f>AVERAGE(CE12:CE18)</f>
        <v>#VALUE!</v>
      </c>
      <c r="CF21" s="691">
        <f>AVERAGE(CF12:CF18)</f>
        <v>0.76142857142857134</v>
      </c>
      <c r="CG21" s="691">
        <f>AVERAGE(CG12:CG18)</f>
        <v>0.88785714285714279</v>
      </c>
    </row>
    <row r="22" spans="2:85" s="542" customFormat="1" ht="18.75" customHeight="1" x14ac:dyDescent="0.2">
      <c r="B22" s="543"/>
      <c r="C22" s="543" t="s">
        <v>592</v>
      </c>
      <c r="D22" s="544">
        <f>AVERAGE(D7:D20)</f>
        <v>21.657142857142855</v>
      </c>
      <c r="E22" s="545">
        <f t="shared" ref="E22:BB22" si="37">AVERAGE(E7:E20)</f>
        <v>2.2999999999999996E-2</v>
      </c>
      <c r="F22" s="545">
        <f t="shared" si="37"/>
        <v>0.22207142857142861</v>
      </c>
      <c r="G22" s="544">
        <f t="shared" si="37"/>
        <v>7.6642857142857137</v>
      </c>
      <c r="H22" s="545">
        <f t="shared" si="37"/>
        <v>0.10264285714285715</v>
      </c>
      <c r="I22" s="544">
        <f t="shared" si="37"/>
        <v>2.8107142857142859</v>
      </c>
      <c r="J22" s="545">
        <f t="shared" si="37"/>
        <v>0.15628571428571428</v>
      </c>
      <c r="K22" s="545">
        <f t="shared" si="37"/>
        <v>8.275384615384615E-3</v>
      </c>
      <c r="L22" s="545">
        <f t="shared" si="37"/>
        <v>1.679230769230769E-2</v>
      </c>
      <c r="M22" s="544">
        <f t="shared" si="37"/>
        <v>84.071428571428569</v>
      </c>
      <c r="N22" s="544">
        <f t="shared" si="37"/>
        <v>22.326923076923077</v>
      </c>
      <c r="O22" s="544" t="e">
        <f t="shared" si="37"/>
        <v>#DIV/0!</v>
      </c>
      <c r="P22" s="544">
        <f t="shared" si="37"/>
        <v>106.92307692307692</v>
      </c>
      <c r="Q22" s="544">
        <f t="shared" si="37"/>
        <v>7.9192307692307686</v>
      </c>
      <c r="R22" s="544">
        <f t="shared" si="37"/>
        <v>1.4500000000000001E-2</v>
      </c>
      <c r="S22" s="544">
        <f t="shared" si="37"/>
        <v>3.1100000000000003</v>
      </c>
      <c r="T22" s="544">
        <f t="shared" si="37"/>
        <v>5.9942857142857147</v>
      </c>
      <c r="U22" s="544">
        <f t="shared" si="37"/>
        <v>1.3033333333333335</v>
      </c>
      <c r="V22" s="544">
        <f t="shared" si="37"/>
        <v>4.5621428571428586</v>
      </c>
      <c r="W22" s="544">
        <f t="shared" si="37"/>
        <v>93.84615384615384</v>
      </c>
      <c r="X22" s="544">
        <f t="shared" si="37"/>
        <v>7.1250000000000008E-2</v>
      </c>
      <c r="Y22" s="544">
        <f t="shared" si="37"/>
        <v>2.5416666666666665</v>
      </c>
      <c r="Z22" s="544">
        <f t="shared" si="37"/>
        <v>7.2357142857142858</v>
      </c>
      <c r="AA22" s="544">
        <f t="shared" si="37"/>
        <v>46.092857142857142</v>
      </c>
      <c r="AB22" s="544">
        <f t="shared" si="37"/>
        <v>0.51153846153846161</v>
      </c>
      <c r="AC22" s="545">
        <f t="shared" si="37"/>
        <v>0.72538461538461552</v>
      </c>
      <c r="AD22" s="545">
        <f t="shared" si="37"/>
        <v>0.48333333333333328</v>
      </c>
      <c r="AE22" s="545">
        <f t="shared" si="37"/>
        <v>0.98692307692307679</v>
      </c>
      <c r="AF22" s="545">
        <f t="shared" si="37"/>
        <v>0.74857142857142855</v>
      </c>
      <c r="AG22" s="545">
        <f t="shared" si="37"/>
        <v>3.95E-2</v>
      </c>
      <c r="AH22" s="545">
        <f t="shared" si="37"/>
        <v>6.4884615384615394</v>
      </c>
      <c r="AI22" s="545">
        <f t="shared" si="37"/>
        <v>8.5416666666666682E-2</v>
      </c>
      <c r="AJ22" s="545">
        <f t="shared" si="37"/>
        <v>9.4999999999999987E-2</v>
      </c>
      <c r="AK22" s="545">
        <f t="shared" si="37"/>
        <v>1.7500000000000002E-2</v>
      </c>
      <c r="AL22" s="545">
        <f t="shared" si="37"/>
        <v>0.01</v>
      </c>
      <c r="AM22" s="545">
        <f t="shared" si="37"/>
        <v>1.6337272727272727</v>
      </c>
      <c r="AN22" s="545">
        <f t="shared" si="37"/>
        <v>1.9625000000000004E-2</v>
      </c>
      <c r="AO22" s="545">
        <f t="shared" si="37"/>
        <v>3.95E-2</v>
      </c>
      <c r="AP22" s="545">
        <f t="shared" si="37"/>
        <v>10.257142857142858</v>
      </c>
      <c r="AQ22" s="545" t="e">
        <f t="shared" si="37"/>
        <v>#DIV/0!</v>
      </c>
      <c r="AR22" s="544">
        <f t="shared" si="37"/>
        <v>2.4714285714285713E-2</v>
      </c>
      <c r="AS22" s="544">
        <f t="shared" si="37"/>
        <v>1.3314285714285712</v>
      </c>
      <c r="AT22" s="544">
        <f t="shared" si="37"/>
        <v>0.93071428571428572</v>
      </c>
      <c r="AU22" s="544">
        <f t="shared" si="37"/>
        <v>0.63285714285714278</v>
      </c>
      <c r="AV22" s="544">
        <f t="shared" si="37"/>
        <v>0.97214285714285698</v>
      </c>
      <c r="AW22" s="544">
        <f t="shared" si="37"/>
        <v>1.7271428571428571</v>
      </c>
      <c r="AX22" s="544">
        <f t="shared" si="37"/>
        <v>0.79285714285714293</v>
      </c>
      <c r="AY22" s="544">
        <f t="shared" si="37"/>
        <v>3.9285714285714278E-2</v>
      </c>
      <c r="AZ22" s="544">
        <f t="shared" si="37"/>
        <v>3.8999999999999995</v>
      </c>
      <c r="BA22" s="544">
        <f t="shared" si="37"/>
        <v>1.5921428571428571</v>
      </c>
      <c r="BB22" s="544" t="e">
        <f t="shared" si="37"/>
        <v>#DIV/0!</v>
      </c>
      <c r="CD22" s="691">
        <f>AVERAGE(CD7:CD20)</f>
        <v>0.70668441199532051</v>
      </c>
      <c r="CE22" s="691" t="e">
        <f>AVERAGE(CE7:CE20)</f>
        <v>#VALUE!</v>
      </c>
      <c r="CF22" s="691">
        <f>AVERAGE(CF7:CF20)</f>
        <v>0.755</v>
      </c>
      <c r="CG22" s="691">
        <f>AVERAGE(CG7:CG20)</f>
        <v>0.83214285714285718</v>
      </c>
    </row>
    <row r="23" spans="2:85" ht="20.149999999999999" customHeight="1" x14ac:dyDescent="0.2">
      <c r="B23" s="704" t="s">
        <v>94</v>
      </c>
      <c r="C23" s="705"/>
      <c r="D23" s="57"/>
      <c r="E23" s="30">
        <v>4.5999999999999999E-2</v>
      </c>
      <c r="F23" s="29">
        <v>1.5E-3</v>
      </c>
      <c r="G23" s="29">
        <v>3.8999999999999998E-3</v>
      </c>
      <c r="H23" s="30">
        <v>2.5999999999999999E-2</v>
      </c>
      <c r="I23" s="29">
        <v>1.4E-3</v>
      </c>
      <c r="J23" s="29">
        <v>1.1999999999999999E-3</v>
      </c>
      <c r="K23" s="29">
        <v>6.3000000000000003E-4</v>
      </c>
      <c r="L23" s="26">
        <v>5.3E-3</v>
      </c>
      <c r="M23" s="30">
        <v>2.4</v>
      </c>
      <c r="N23" s="29">
        <v>2.5</v>
      </c>
      <c r="O23" s="29" t="s">
        <v>64</v>
      </c>
      <c r="P23" s="29">
        <v>5.7</v>
      </c>
      <c r="Q23" s="29">
        <v>2.1</v>
      </c>
      <c r="R23" s="29">
        <v>2.9000000000000001E-2</v>
      </c>
      <c r="S23" s="29">
        <v>0.2</v>
      </c>
      <c r="T23" s="29">
        <v>7.1999999999999995E-2</v>
      </c>
      <c r="U23" s="29">
        <v>0.12</v>
      </c>
      <c r="V23" s="29">
        <v>0.16</v>
      </c>
      <c r="W23" s="29">
        <v>4.3</v>
      </c>
      <c r="X23" s="29">
        <v>0.11</v>
      </c>
      <c r="Y23" s="29">
        <v>0.19</v>
      </c>
      <c r="Z23" s="29">
        <v>0.21</v>
      </c>
      <c r="AA23" s="29">
        <v>1.1000000000000001</v>
      </c>
      <c r="AB23" s="29">
        <v>9.7000000000000003E-2</v>
      </c>
      <c r="AC23" s="29">
        <v>0.2</v>
      </c>
      <c r="AD23" s="29">
        <v>1.4</v>
      </c>
      <c r="AE23" s="29">
        <v>7.6999999999999999E-2</v>
      </c>
      <c r="AF23" s="29">
        <v>1.2E-2</v>
      </c>
      <c r="AG23" s="29">
        <v>7.9000000000000001E-2</v>
      </c>
      <c r="AH23" s="29">
        <v>2.2999999999999998</v>
      </c>
      <c r="AI23" s="29">
        <v>3.7999999999999999E-2</v>
      </c>
      <c r="AJ23" s="29">
        <v>1.7999999999999999E-2</v>
      </c>
      <c r="AK23" s="29">
        <v>3.5000000000000003E-2</v>
      </c>
      <c r="AL23" s="27">
        <v>0.02</v>
      </c>
      <c r="AM23" s="58">
        <v>0.04</v>
      </c>
      <c r="AN23" s="58">
        <v>2.8000000000000001E-2</v>
      </c>
      <c r="AO23" s="58">
        <v>7.9000000000000001E-2</v>
      </c>
      <c r="AP23" s="59">
        <v>0.12</v>
      </c>
      <c r="AQ23" s="60" t="s">
        <v>64</v>
      </c>
      <c r="AR23" s="60">
        <v>0</v>
      </c>
      <c r="AS23" s="28">
        <v>2.9000000000000001E-2</v>
      </c>
      <c r="AT23" s="30">
        <v>1.4999999999999999E-2</v>
      </c>
      <c r="AU23" s="30">
        <v>6.7000000000000002E-3</v>
      </c>
      <c r="AV23" s="30">
        <v>0</v>
      </c>
      <c r="AW23" s="30">
        <v>0</v>
      </c>
      <c r="AX23" s="29">
        <v>0</v>
      </c>
      <c r="AY23" s="27">
        <v>0</v>
      </c>
      <c r="AZ23" s="27"/>
      <c r="BA23" s="27"/>
      <c r="BB23" s="26" t="s">
        <v>64</v>
      </c>
    </row>
    <row r="24" spans="2:85" ht="20.149999999999999" customHeight="1" x14ac:dyDescent="0.2">
      <c r="B24" s="692" t="s">
        <v>95</v>
      </c>
      <c r="C24" s="693"/>
      <c r="D24" s="61"/>
      <c r="E24" s="56">
        <v>0.15</v>
      </c>
      <c r="F24" s="55">
        <v>4.8999999999999998E-3</v>
      </c>
      <c r="G24" s="55">
        <v>1.2999999999999999E-2</v>
      </c>
      <c r="H24" s="56">
        <v>8.5000000000000006E-2</v>
      </c>
      <c r="I24" s="55">
        <v>4.7999999999999996E-3</v>
      </c>
      <c r="J24" s="55">
        <v>4.1000000000000003E-3</v>
      </c>
      <c r="K24" s="55">
        <v>2.0999999999999999E-3</v>
      </c>
      <c r="L24" s="52">
        <v>1.7999999999999999E-2</v>
      </c>
      <c r="M24" s="56">
        <v>8.1</v>
      </c>
      <c r="N24" s="55">
        <v>8.1999999999999993</v>
      </c>
      <c r="O24" s="55" t="s">
        <v>64</v>
      </c>
      <c r="P24" s="55">
        <v>19</v>
      </c>
      <c r="Q24" s="55">
        <v>6.9</v>
      </c>
      <c r="R24" s="55">
        <v>9.7000000000000003E-2</v>
      </c>
      <c r="S24" s="55">
        <v>0.66</v>
      </c>
      <c r="T24" s="55">
        <v>0.24</v>
      </c>
      <c r="U24" s="55">
        <v>0.4</v>
      </c>
      <c r="V24" s="55">
        <v>0.53</v>
      </c>
      <c r="W24" s="55">
        <v>14</v>
      </c>
      <c r="X24" s="55">
        <v>0.36</v>
      </c>
      <c r="Y24" s="55">
        <v>0.64</v>
      </c>
      <c r="Z24" s="55">
        <v>0.7</v>
      </c>
      <c r="AA24" s="55">
        <v>3.8</v>
      </c>
      <c r="AB24" s="55">
        <v>0.32</v>
      </c>
      <c r="AC24" s="55">
        <v>0.67</v>
      </c>
      <c r="AD24" s="55">
        <v>0.46</v>
      </c>
      <c r="AE24" s="55">
        <v>0.26</v>
      </c>
      <c r="AF24" s="55">
        <v>0.12</v>
      </c>
      <c r="AG24" s="55">
        <v>0.26</v>
      </c>
      <c r="AH24" s="55">
        <v>7.7</v>
      </c>
      <c r="AI24" s="55">
        <v>0.13</v>
      </c>
      <c r="AJ24" s="55">
        <v>0.06</v>
      </c>
      <c r="AK24" s="55">
        <v>0.12</v>
      </c>
      <c r="AL24" s="53">
        <v>0.2</v>
      </c>
      <c r="AM24" s="53">
        <v>0.13</v>
      </c>
      <c r="AN24" s="53">
        <v>9.4E-2</v>
      </c>
      <c r="AO24" s="53">
        <v>0.26</v>
      </c>
      <c r="AP24" s="55">
        <v>0.41</v>
      </c>
      <c r="AQ24" s="52" t="s">
        <v>64</v>
      </c>
      <c r="AR24" s="54">
        <v>0</v>
      </c>
      <c r="AS24" s="56">
        <v>9.6000000000000002E-2</v>
      </c>
      <c r="AT24" s="56">
        <v>0.05</v>
      </c>
      <c r="AU24" s="56">
        <v>2.1999999999999999E-2</v>
      </c>
      <c r="AV24" s="56">
        <v>0</v>
      </c>
      <c r="AW24" s="55">
        <v>0</v>
      </c>
      <c r="AX24" s="53">
        <v>0</v>
      </c>
      <c r="AY24" s="53">
        <v>0</v>
      </c>
      <c r="AZ24" s="53"/>
      <c r="BA24" s="53"/>
      <c r="BB24" s="52" t="s">
        <v>64</v>
      </c>
    </row>
    <row r="25" spans="2:85" ht="20.149999999999999" customHeight="1" x14ac:dyDescent="0.2">
      <c r="B25" s="694" t="s">
        <v>97</v>
      </c>
      <c r="C25" s="695"/>
      <c r="D25" s="698"/>
      <c r="E25" s="706"/>
      <c r="F25" s="706"/>
      <c r="G25" s="715"/>
      <c r="H25" s="706"/>
      <c r="I25" s="706"/>
      <c r="J25" s="706"/>
      <c r="K25" s="706"/>
      <c r="L25" s="706"/>
      <c r="M25" s="712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9"/>
      <c r="AR25" s="712"/>
      <c r="AS25" s="706"/>
      <c r="AT25" s="706"/>
      <c r="AU25" s="706"/>
      <c r="AV25" s="706"/>
      <c r="AW25" s="706"/>
      <c r="AX25" s="706"/>
      <c r="AY25" s="706"/>
      <c r="AZ25" s="706"/>
      <c r="BA25" s="706"/>
      <c r="BB25" s="709"/>
    </row>
    <row r="26" spans="2:85" ht="20.149999999999999" customHeight="1" x14ac:dyDescent="0.2">
      <c r="B26" s="694"/>
      <c r="C26" s="695"/>
      <c r="D26" s="695"/>
      <c r="E26" s="707"/>
      <c r="F26" s="707"/>
      <c r="G26" s="716"/>
      <c r="H26" s="707"/>
      <c r="I26" s="707"/>
      <c r="J26" s="707"/>
      <c r="K26" s="707"/>
      <c r="L26" s="707"/>
      <c r="M26" s="713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10"/>
      <c r="AR26" s="713"/>
      <c r="AS26" s="707"/>
      <c r="AT26" s="707"/>
      <c r="AU26" s="707"/>
      <c r="AV26" s="707"/>
      <c r="AW26" s="707"/>
      <c r="AX26" s="707"/>
      <c r="AY26" s="707"/>
      <c r="AZ26" s="707"/>
      <c r="BA26" s="707"/>
      <c r="BB26" s="710"/>
    </row>
    <row r="27" spans="2:85" ht="20.149999999999999" customHeight="1" x14ac:dyDescent="0.2">
      <c r="B27" s="696"/>
      <c r="C27" s="697"/>
      <c r="D27" s="697"/>
      <c r="E27" s="708"/>
      <c r="F27" s="708"/>
      <c r="G27" s="717"/>
      <c r="H27" s="708"/>
      <c r="I27" s="708"/>
      <c r="J27" s="708"/>
      <c r="K27" s="708"/>
      <c r="L27" s="708"/>
      <c r="M27" s="714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11"/>
      <c r="AR27" s="714"/>
      <c r="AS27" s="708"/>
      <c r="AT27" s="708"/>
      <c r="AU27" s="708"/>
      <c r="AV27" s="708"/>
      <c r="AW27" s="708"/>
      <c r="AX27" s="708"/>
      <c r="AY27" s="708"/>
      <c r="AZ27" s="708"/>
      <c r="BA27" s="708"/>
      <c r="BB27" s="711"/>
    </row>
    <row r="28" spans="2:85" ht="16.5" x14ac:dyDescent="0.2">
      <c r="B28" s="6"/>
      <c r="C28" s="6"/>
      <c r="D28" s="5" t="s">
        <v>98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85" ht="16.5" x14ac:dyDescent="0.2">
      <c r="B29" s="6"/>
      <c r="C29" s="6"/>
      <c r="D29" s="5" t="s">
        <v>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8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</sheetData>
  <mergeCells count="59">
    <mergeCell ref="B23:C23"/>
    <mergeCell ref="D2:F2"/>
    <mergeCell ref="G4:H4"/>
    <mergeCell ref="O4:P4"/>
    <mergeCell ref="AT4:AU4"/>
    <mergeCell ref="B5:C6"/>
    <mergeCell ref="M25:M27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Y25:Y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AK25:AK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X25:AX27"/>
    <mergeCell ref="AY25:AY27"/>
    <mergeCell ref="AZ25:AZ27"/>
    <mergeCell ref="BA25:BA27"/>
    <mergeCell ref="BB25:BB27"/>
  </mergeCells>
  <phoneticPr fontId="2"/>
  <conditionalFormatting sqref="CB7:CB20">
    <cfRule type="cellIs" dxfId="75" priority="6" stopIfTrue="1" operator="notBetween">
      <formula>0.8</formula>
      <formula>1.2</formula>
    </cfRule>
  </conditionalFormatting>
  <conditionalFormatting sqref="BC7:BD20">
    <cfRule type="cellIs" dxfId="74" priority="5" stopIfTrue="1" operator="notBetween">
      <formula>0.9</formula>
      <formula>1.1</formula>
    </cfRule>
  </conditionalFormatting>
  <conditionalFormatting sqref="BP7:BP20">
    <cfRule type="cellIs" dxfId="73" priority="3" stopIfTrue="1" operator="notBetween">
      <formula>0.8</formula>
      <formula>1.2</formula>
    </cfRule>
  </conditionalFormatting>
  <conditionalFormatting sqref="CF7:CF20">
    <cfRule type="cellIs" dxfId="72" priority="1" stopIfTrue="1" operator="lessThan">
      <formula>0</formula>
    </cfRule>
  </conditionalFormatting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33</vt:i4>
      </vt:variant>
    </vt:vector>
  </HeadingPairs>
  <TitlesOfParts>
    <vt:vector size="68" baseType="lpstr">
      <vt:lpstr>コア期間 (2)</vt:lpstr>
      <vt:lpstr>コア期間</vt:lpstr>
      <vt:lpstr>全期間</vt:lpstr>
      <vt:lpstr>土浦</vt:lpstr>
      <vt:lpstr>真岡</vt:lpstr>
      <vt:lpstr>前橋</vt:lpstr>
      <vt:lpstr>館林</vt:lpstr>
      <vt:lpstr>鴻巣</vt:lpstr>
      <vt:lpstr>幸手</vt:lpstr>
      <vt:lpstr>さいたま</vt:lpstr>
      <vt:lpstr>市原</vt:lpstr>
      <vt:lpstr>勝浦</vt:lpstr>
      <vt:lpstr>富津</vt:lpstr>
      <vt:lpstr>千葉</vt:lpstr>
      <vt:lpstr>綾瀬</vt:lpstr>
      <vt:lpstr>多摩</vt:lpstr>
      <vt:lpstr>大和</vt:lpstr>
      <vt:lpstr>横浜</vt:lpstr>
      <vt:lpstr>川崎</vt:lpstr>
      <vt:lpstr>相模原</vt:lpstr>
      <vt:lpstr>甲府</vt:lpstr>
      <vt:lpstr>吉田</vt:lpstr>
      <vt:lpstr>長野</vt:lpstr>
      <vt:lpstr>富士</vt:lpstr>
      <vt:lpstr>湖西</vt:lpstr>
      <vt:lpstr>静岡</vt:lpstr>
      <vt:lpstr>浜松</vt:lpstr>
      <vt:lpstr>土浦FP</vt:lpstr>
      <vt:lpstr>前橋FP</vt:lpstr>
      <vt:lpstr>鴻巣FP</vt:lpstr>
      <vt:lpstr>市原FP</vt:lpstr>
      <vt:lpstr>綾瀬FP</vt:lpstr>
      <vt:lpstr>甲府FP</vt:lpstr>
      <vt:lpstr>長野FP</vt:lpstr>
      <vt:lpstr>富士FP</vt:lpstr>
      <vt:lpstr>さいたま!Print_Area</vt:lpstr>
      <vt:lpstr>綾瀬!Print_Area</vt:lpstr>
      <vt:lpstr>綾瀬FP!Print_Area</vt:lpstr>
      <vt:lpstr>横浜!Print_Area</vt:lpstr>
      <vt:lpstr>館林!Print_Area</vt:lpstr>
      <vt:lpstr>吉田!Print_Area</vt:lpstr>
      <vt:lpstr>湖西!Print_Area</vt:lpstr>
      <vt:lpstr>幸手!Print_Area</vt:lpstr>
      <vt:lpstr>甲府!Print_Area</vt:lpstr>
      <vt:lpstr>甲府FP!Print_Area</vt:lpstr>
      <vt:lpstr>鴻巣!Print_Area</vt:lpstr>
      <vt:lpstr>鴻巣FP!Print_Area</vt:lpstr>
      <vt:lpstr>市原!Print_Area</vt:lpstr>
      <vt:lpstr>市原FP!Print_Area</vt:lpstr>
      <vt:lpstr>勝浦!Print_Area</vt:lpstr>
      <vt:lpstr>真岡!Print_Area</vt:lpstr>
      <vt:lpstr>静岡!Print_Area</vt:lpstr>
      <vt:lpstr>千葉!Print_Area</vt:lpstr>
      <vt:lpstr>川崎!Print_Area</vt:lpstr>
      <vt:lpstr>前橋!Print_Area</vt:lpstr>
      <vt:lpstr>前橋FP!Print_Area</vt:lpstr>
      <vt:lpstr>相模原!Print_Area</vt:lpstr>
      <vt:lpstr>多摩!Print_Area</vt:lpstr>
      <vt:lpstr>大和!Print_Area</vt:lpstr>
      <vt:lpstr>長野!Print_Area</vt:lpstr>
      <vt:lpstr>長野FP!Print_Area</vt:lpstr>
      <vt:lpstr>土浦!Print_Area</vt:lpstr>
      <vt:lpstr>土浦FP!Print_Area</vt:lpstr>
      <vt:lpstr>浜松!Print_Area</vt:lpstr>
      <vt:lpstr>富士!Print_Area</vt:lpstr>
      <vt:lpstr>富士FP!Print_Area</vt:lpstr>
      <vt:lpstr>富津!Print_Area</vt:lpstr>
      <vt:lpstr>大和!Print_Titles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hasegawa</cp:lastModifiedBy>
  <dcterms:created xsi:type="dcterms:W3CDTF">2016-10-11T04:17:42Z</dcterms:created>
  <dcterms:modified xsi:type="dcterms:W3CDTF">2016-11-15T06:07:23Z</dcterms:modified>
</cp:coreProperties>
</file>